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.shortcut-targets-by-id\1EML67u8mTxxFYOlUh4TeOyQkvi9Qc2f6\44 - PLATINA\2023\001 - Projeto - Construção e Cobertura - Pátio da Prefeitura\Projeto Executivo\Sondagem\"/>
    </mc:Choice>
  </mc:AlternateContent>
  <xr:revisionPtr revIDLastSave="0" documentId="13_ncr:81_{6EE4E0C7-A0B4-4E82-806A-7B93A99E1377}" xr6:coauthVersionLast="47" xr6:coauthVersionMax="47" xr10:uidLastSave="{00000000-0000-0000-0000-000000000000}"/>
  <workbookProtection workbookPassword="CE10" revisionsPassword="CE10" lockStructure="1" lockRevision="1"/>
  <bookViews>
    <workbookView xWindow="-108" yWindow="-108" windowWidth="23256" windowHeight="12456" xr2:uid="{00000000-000D-0000-FFFF-FFFF00000000}"/>
  </bookViews>
  <sheets>
    <sheet name="Estaca armada" sheetId="1" r:id="rId1"/>
    <sheet name="Armação compressão" sheetId="2" r:id="rId2"/>
  </sheets>
  <definedNames>
    <definedName name="_xlnm.Print_Area" localSheetId="0">'Estaca armada'!$A$1:$AW$57</definedName>
    <definedName name="Z_2E2E5DB7_CA42_4BBC_B021_0A198E008C5E_.wvu.Cols" localSheetId="0" hidden="1">'Estaca armada'!$AC:$KA</definedName>
    <definedName name="Z_2E2E5DB7_CA42_4BBC_B021_0A198E008C5E_.wvu.PrintArea" localSheetId="0" hidden="1">'Estaca armada'!$A$1:$Y$58</definedName>
    <definedName name="Z_2E2E5DB7_CA42_4BBC_B021_0A198E008C5E_.wvu.Rows" localSheetId="0" hidden="1">'Estaca armada'!$135:$65536,'Estaca armada'!$59:$134</definedName>
    <definedName name="Z_438C87CC_A6DA_4739_A9B4_07154B9743D1_.wvu.Cols" localSheetId="0" hidden="1">'Estaca armada'!$AC:$KA</definedName>
    <definedName name="Z_438C87CC_A6DA_4739_A9B4_07154B9743D1_.wvu.PrintArea" localSheetId="0" hidden="1">'Estaca armada'!$A:$Y</definedName>
    <definedName name="Z_438C87CC_A6DA_4739_A9B4_07154B9743D1_.wvu.Rows" localSheetId="0" hidden="1">'Estaca armada'!$135:$65536,'Estaca armada'!$59:$134</definedName>
    <definedName name="Z_5043E6C5_0447_4CC1_BE28_8137D7330070_.wvu.Cols" localSheetId="0" hidden="1">'Estaca armada'!$AB:$KA</definedName>
    <definedName name="Z_5043E6C5_0447_4CC1_BE28_8137D7330070_.wvu.PrintArea" localSheetId="0" hidden="1">'Estaca armada'!$A$1:$Y$98</definedName>
    <definedName name="Z_5043E6C5_0447_4CC1_BE28_8137D7330070_.wvu.Rows" localSheetId="0" hidden="1">'Estaca armada'!$131:$65536,'Estaca armada'!$99:$130</definedName>
    <definedName name="Z_66845537_EC82_4EBF_9919_7F98C7CC2A55_.wvu.PrintArea" localSheetId="0" hidden="1">'Estaca armada'!$A$1:$AW$57</definedName>
    <definedName name="Z_66845537_EC82_4EBF_9919_7F98C7CC2A55_.wvu.Rows" localSheetId="0" hidden="1">'Estaca armada'!$135:$1048576,'Estaca armada'!$59:$134</definedName>
    <definedName name="Z_785A560C_2AC4_43DF_B030_CE4835E1CBC4_.wvu.Cols" localSheetId="0" hidden="1">'Estaca armada'!$AB:$KA</definedName>
    <definedName name="Z_785A560C_2AC4_43DF_B030_CE4835E1CBC4_.wvu.PrintArea" localSheetId="0" hidden="1">'Estaca armada'!$A:$Y</definedName>
    <definedName name="Z_785A560C_2AC4_43DF_B030_CE4835E1CBC4_.wvu.Rows" localSheetId="0" hidden="1">'Estaca armada'!$135:$65536,'Estaca armada'!$59:$134</definedName>
    <definedName name="Z_832708E3_AF11_4CE3_850A_D7F51F4C3C12_.wvu.PrintArea" localSheetId="0" hidden="1">'Estaca armada'!$A$1:$AW$57</definedName>
    <definedName name="Z_832708E3_AF11_4CE3_850A_D7F51F4C3C12_.wvu.Rows" localSheetId="0" hidden="1">'Estaca armada'!$135:$1048576,'Estaca armada'!$59:$134</definedName>
    <definedName name="Z_9A9577CF_A99D_47E2_A2CA_C646A38E2EA0_.wvu.Cols" localSheetId="0" hidden="1">'Estaca armada'!$AB:$KA</definedName>
    <definedName name="Z_9A9577CF_A99D_47E2_A2CA_C646A38E2EA0_.wvu.PrintArea" localSheetId="0" hidden="1">'Estaca armada'!$A$1:$Y$98</definedName>
    <definedName name="Z_9A9577CF_A99D_47E2_A2CA_C646A38E2EA0_.wvu.Rows" localSheetId="0" hidden="1">'Estaca armada'!$131:$65536,'Estaca armada'!$99:$130</definedName>
    <definedName name="Z_E80248EA_EF1F_44D6_8644_3F36D4D9BE6D_.wvu.PrintArea" localSheetId="0" hidden="1">'Estaca armada'!$A$1:$AW$57</definedName>
    <definedName name="Z_E80248EA_EF1F_44D6_8644_3F36D4D9BE6D_.wvu.Rows" localSheetId="0" hidden="1">'Estaca armada'!$135:$1048576,'Estaca armada'!$59:$134</definedName>
  </definedNames>
  <calcPr calcId="191029"/>
  <customWorkbookViews>
    <customWorkbookView name="Celio Magalhães - Modo de exibição pessoal" guid="{832708E3-AF11-4CE3-850A-D7F51F4C3C12}" mergeInterval="0" personalView="1" maximized="1" windowWidth="1916" windowHeight="854" activeSheetId="1"/>
    <customWorkbookView name="celio - Modo de exibição pessoal" guid="{E80248EA-EF1F-44D6-8644-3F36D4D9BE6D}" mergeInterval="0" personalView="1" maximized="1" windowWidth="1916" windowHeight="854" activeSheetId="1"/>
    <customWorkbookView name="Célio - Modo de exibição pessoal" guid="{438C87CC-A6DA-4739-A9B4-07154B9743D1}" mergeInterval="0" personalView="1" maximized="1" windowWidth="1276" windowHeight="829" activeSheetId="1" showComments="commNone"/>
    <customWorkbookView name="user - Modo de exibição pessoal" guid="{9A9577CF-A99D-47E2-A2CA-C646A38E2EA0}" mergeInterval="0" personalView="1" maximized="1" windowWidth="1020" windowHeight="577" activeSheetId="1"/>
    <customWorkbookView name="Celio Marcio - Modo de exibição pessoal" guid="{9D30E936-D5E2-4901-B86F-C7EE6F193304}" mergeInterval="0" personalView="1" maximized="1" windowWidth="1020" windowHeight="622" activeSheetId="1"/>
    <customWorkbookView name="Celio Magalhaes - Modo de exibição pessoal" guid="{3B3FA537-46D6-4632-B8A8-553F3EA07424}" mergeInterval="0" personalView="1" maximized="1" windowWidth="796" windowHeight="409" activeSheetId="1" showComments="commIndAndComment"/>
    <customWorkbookView name=". - Modo de exibição pessoal" guid="{5043E6C5-0447-4CC1-BE28-8137D7330070}" mergeInterval="0" personalView="1" maximized="1" windowWidth="1020" windowHeight="603" activeSheetId="1"/>
    <customWorkbookView name="Célio Magalhães - Modo de exibição pessoal" guid="{785A560C-2AC4-43DF-B030-CE4835E1CBC4}" mergeInterval="0" personalView="1" maximized="1" windowWidth="1276" windowHeight="829" activeSheetId="1"/>
    <customWorkbookView name="Celio-User - Modo de exibição pessoal" guid="{2E2E5DB7-CA42-4BBC-B021-0A198E008C5E}" mergeInterval="0" personalView="1" maximized="1" windowWidth="1276" windowHeight="829" activeSheetId="1"/>
    <customWorkbookView name="Leandro Bertaco Lúcio - Modo de exibição pessoal" guid="{66845537-EC82-4EBF-9919-7F98C7CC2A55}" mergeInterval="0" personalView="1" maximized="1" xWindow="-9" yWindow="-9" windowWidth="1938" windowHeight="10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1" i="1" l="1"/>
  <c r="DF28" i="1" l="1"/>
  <c r="DF27" i="1"/>
  <c r="DF24" i="1"/>
  <c r="BZ28" i="1"/>
  <c r="DE28" i="1" s="1"/>
  <c r="BZ27" i="1"/>
  <c r="DE27" i="1" s="1"/>
  <c r="DF26" i="1"/>
  <c r="BZ24" i="1"/>
  <c r="DE24" i="1" s="1"/>
  <c r="BZ26" i="1"/>
  <c r="DE26" i="1" s="1"/>
  <c r="BZ23" i="1"/>
  <c r="DE23" i="1" s="1"/>
  <c r="BM22" i="1"/>
  <c r="BM20" i="1"/>
  <c r="BM19" i="1"/>
  <c r="BM21" i="1"/>
  <c r="BM26" i="1" l="1"/>
  <c r="BY22" i="1" s="1"/>
  <c r="N20" i="1"/>
  <c r="BX21" i="1" l="1"/>
  <c r="BX20" i="1"/>
  <c r="BX25" i="1"/>
  <c r="BX22" i="1"/>
  <c r="BZ22" i="1" s="1"/>
  <c r="DE22" i="1" s="1"/>
  <c r="BY21" i="1"/>
  <c r="BY20" i="1"/>
  <c r="BZ20" i="1" s="1"/>
  <c r="DE20" i="1" s="1"/>
  <c r="BY25" i="1"/>
  <c r="AB19" i="1"/>
  <c r="AC14" i="1"/>
  <c r="BZ21" i="1" l="1"/>
  <c r="DE21" i="1" s="1"/>
  <c r="BZ25" i="1"/>
  <c r="DE25" i="1" s="1"/>
  <c r="N51" i="1"/>
  <c r="BN4" i="1" l="1"/>
  <c r="BN3" i="1"/>
  <c r="DE54" i="1" l="1"/>
  <c r="DD52" i="1"/>
  <c r="AC32" i="1" l="1"/>
  <c r="CL28" i="1" l="1"/>
  <c r="CO32" i="1"/>
  <c r="CO31" i="1"/>
  <c r="CG22" i="1"/>
  <c r="CM22" i="1" s="1"/>
  <c r="CG21" i="1"/>
  <c r="CM21" i="1" s="1"/>
  <c r="CG20" i="1"/>
  <c r="CM20" i="1" s="1"/>
  <c r="CG19" i="1"/>
  <c r="CM19" i="1" s="1"/>
  <c r="CG18" i="1"/>
  <c r="CG17" i="1"/>
  <c r="CG16" i="1"/>
  <c r="CG15" i="1"/>
  <c r="CG28" i="1"/>
  <c r="CG27" i="1"/>
  <c r="CH14" i="1" s="1"/>
  <c r="CG14" i="1"/>
  <c r="BN5" i="1"/>
  <c r="BN6" i="1" s="1"/>
  <c r="CO33" i="1" l="1"/>
  <c r="CO19" i="1"/>
  <c r="CG23" i="1"/>
  <c r="CI14" i="1"/>
  <c r="CI15" i="1" s="1"/>
  <c r="CI16" i="1" s="1"/>
  <c r="CI17" i="1" s="1"/>
  <c r="CI18" i="1" s="1"/>
  <c r="CH15" i="1"/>
  <c r="CL41" i="1" l="1"/>
  <c r="CL42" i="1" s="1"/>
  <c r="CS45" i="1" s="1"/>
  <c r="CJ15" i="1"/>
  <c r="CK15" i="1" s="1"/>
  <c r="CJ14" i="1"/>
  <c r="CH16" i="1"/>
  <c r="G11" i="2"/>
  <c r="G12" i="2"/>
  <c r="G13" i="2" s="1"/>
  <c r="P1" i="1"/>
  <c r="CW2" i="1"/>
  <c r="CZ4" i="1"/>
  <c r="DD4" i="1" s="1"/>
  <c r="DB4" i="1"/>
  <c r="DF4" i="1" s="1"/>
  <c r="DC4" i="1"/>
  <c r="DE4" i="1"/>
  <c r="CZ5" i="1"/>
  <c r="DD5" i="1" s="1"/>
  <c r="DB5" i="1"/>
  <c r="DC5" i="1"/>
  <c r="DE5" i="1"/>
  <c r="CZ6" i="1"/>
  <c r="DB6" i="1" s="1"/>
  <c r="DC6" i="1"/>
  <c r="DE6" i="1"/>
  <c r="CZ7" i="1"/>
  <c r="DD7" i="1" s="1"/>
  <c r="DB7" i="1"/>
  <c r="DF7" i="1" s="1"/>
  <c r="DE7" i="1"/>
  <c r="BT8" i="1"/>
  <c r="BT6" i="1" s="1"/>
  <c r="BU8" i="1"/>
  <c r="BT7" i="1" s="1"/>
  <c r="CZ8" i="1"/>
  <c r="DA8" i="1"/>
  <c r="DE8" i="1" s="1"/>
  <c r="DB8" i="1"/>
  <c r="DD8" i="1"/>
  <c r="CZ9" i="1"/>
  <c r="DB9" i="1"/>
  <c r="DF9" i="1" s="1"/>
  <c r="DD9" i="1"/>
  <c r="DE9" i="1"/>
  <c r="C10" i="1"/>
  <c r="DH41" i="1" s="1"/>
  <c r="CZ10" i="1"/>
  <c r="DD10" i="1" s="1"/>
  <c r="DA10" i="1"/>
  <c r="DE10" i="1" s="1"/>
  <c r="DB10" i="1"/>
  <c r="DF10" i="1" s="1"/>
  <c r="C11" i="1"/>
  <c r="I11" i="1"/>
  <c r="CZ11" i="1"/>
  <c r="DD11" i="1" s="1"/>
  <c r="DB11" i="1"/>
  <c r="DF11" i="1" s="1"/>
  <c r="CZ12" i="1"/>
  <c r="DA12" i="1" s="1"/>
  <c r="DF12" i="1"/>
  <c r="CZ13" i="1"/>
  <c r="DD13" i="1" s="1"/>
  <c r="DA13" i="1"/>
  <c r="DE13" i="1" s="1"/>
  <c r="DF13" i="1"/>
  <c r="F14" i="1"/>
  <c r="H14" i="1"/>
  <c r="K14" i="1"/>
  <c r="CZ14" i="1"/>
  <c r="DD14" i="1" s="1"/>
  <c r="DA14" i="1"/>
  <c r="DE14" i="1" s="1"/>
  <c r="DF14" i="1"/>
  <c r="CZ15" i="1"/>
  <c r="DD15" i="1" s="1"/>
  <c r="DA15" i="1"/>
  <c r="DE15" i="1" s="1"/>
  <c r="DF15" i="1"/>
  <c r="CZ16" i="1"/>
  <c r="DD16" i="1" s="1"/>
  <c r="DA16" i="1"/>
  <c r="DE16" i="1" s="1"/>
  <c r="DF16" i="1"/>
  <c r="CZ17" i="1"/>
  <c r="DD17" i="1" s="1"/>
  <c r="DA17" i="1"/>
  <c r="DE17" i="1" s="1"/>
  <c r="DF17" i="1"/>
  <c r="DF20" i="1"/>
  <c r="DF21" i="1"/>
  <c r="DF22" i="1"/>
  <c r="DF23" i="1"/>
  <c r="DF25" i="1"/>
  <c r="DB35" i="1"/>
  <c r="DB36" i="1" s="1"/>
  <c r="DG41" i="1"/>
  <c r="V44" i="1"/>
  <c r="V45" i="1"/>
  <c r="V46" i="1"/>
  <c r="Q49" i="1"/>
  <c r="DA11" i="1" l="1"/>
  <c r="DE11" i="1" s="1"/>
  <c r="DF29" i="1"/>
  <c r="DF8" i="1"/>
  <c r="CL14" i="1"/>
  <c r="CK14" i="1"/>
  <c r="CT45" i="1"/>
  <c r="CU45" i="1" s="1"/>
  <c r="CV45" i="1" s="1"/>
  <c r="CM45" i="1"/>
  <c r="CQ46" i="1"/>
  <c r="CL46" i="1"/>
  <c r="CM46" i="1" s="1"/>
  <c r="CQ47" i="1"/>
  <c r="CL47" i="1"/>
  <c r="CL45" i="1"/>
  <c r="CL44" i="1"/>
  <c r="DC7" i="1"/>
  <c r="DD6" i="1"/>
  <c r="CL15" i="1"/>
  <c r="DI41" i="1"/>
  <c r="DH45" i="1" s="1"/>
  <c r="DF6" i="1"/>
  <c r="CH17" i="1"/>
  <c r="CJ16" i="1"/>
  <c r="DF5" i="1"/>
  <c r="DD12" i="1"/>
  <c r="DE12" i="1" s="1"/>
  <c r="DE18" i="1" s="1"/>
  <c r="BT9" i="1"/>
  <c r="BU9" i="1"/>
  <c r="BT10" i="1"/>
  <c r="BU10" i="1"/>
  <c r="G14" i="2"/>
  <c r="BV8" i="1"/>
  <c r="CV2" i="1" l="1"/>
  <c r="Q46" i="1"/>
  <c r="CN45" i="1"/>
  <c r="CO45" i="1" s="1"/>
  <c r="DF18" i="1"/>
  <c r="CJ17" i="1"/>
  <c r="CK17" i="1" s="1"/>
  <c r="CH18" i="1"/>
  <c r="CJ18" i="1" s="1"/>
  <c r="CK18" i="1" s="1"/>
  <c r="CK16" i="1"/>
  <c r="CL16" i="1"/>
  <c r="DH44" i="1"/>
  <c r="DG45" i="1"/>
  <c r="DI45" i="1" s="1"/>
  <c r="DJ45" i="1" s="1"/>
  <c r="Q43" i="1"/>
  <c r="DG46" i="1"/>
  <c r="DH46" i="1"/>
  <c r="DG44" i="1"/>
  <c r="DH43" i="1"/>
  <c r="DG43" i="1"/>
  <c r="BW8" i="1"/>
  <c r="BW10" i="1" s="1"/>
  <c r="CX2" i="1" l="1"/>
  <c r="CN14" i="1"/>
  <c r="CL17" i="1"/>
  <c r="DI44" i="1"/>
  <c r="DJ44" i="1" s="1"/>
  <c r="DI43" i="1"/>
  <c r="DJ43" i="1" s="1"/>
  <c r="DI46" i="1"/>
  <c r="DJ46" i="1" s="1"/>
  <c r="CL18" i="1"/>
  <c r="CN51" i="1" l="1"/>
  <c r="DD32" i="1"/>
  <c r="S34" i="1" s="1"/>
  <c r="DG32" i="1"/>
  <c r="DG33" i="1" s="1"/>
  <c r="DG20" i="1"/>
  <c r="Q45" i="1" s="1"/>
  <c r="DB18" i="1"/>
  <c r="DA18" i="1"/>
  <c r="DJ20" i="1"/>
  <c r="G9" i="1"/>
  <c r="E5" i="1"/>
  <c r="DI20" i="1"/>
  <c r="DL25" i="1" s="1"/>
  <c r="DL35" i="1"/>
  <c r="S28" i="1" s="1"/>
  <c r="H7" i="1"/>
  <c r="DJ47" i="1"/>
  <c r="CO14" i="1"/>
  <c r="CO15" i="1" s="1"/>
  <c r="DK42" i="1" l="1"/>
  <c r="V47" i="1" s="1"/>
  <c r="S25" i="1"/>
  <c r="DG34" i="1"/>
  <c r="DG36" i="1" s="1"/>
  <c r="S36" i="1"/>
  <c r="Q44" i="1"/>
  <c r="DK48" i="1"/>
  <c r="S31" i="1" s="1"/>
  <c r="DK20" i="1"/>
  <c r="CE53" i="1"/>
  <c r="AS7" i="1" s="1"/>
  <c r="CL31" i="1"/>
  <c r="CL32" i="1" s="1"/>
  <c r="CL33" i="1" s="1"/>
  <c r="CK52" i="1" s="1"/>
  <c r="CT57" i="1" s="1"/>
  <c r="DK44" i="1" l="1"/>
  <c r="V48" i="1" s="1"/>
  <c r="DL20" i="1"/>
  <c r="DL22" i="1" s="1"/>
  <c r="CL36" i="1"/>
  <c r="CN36" i="1" s="1"/>
  <c r="CK55" i="1" s="1"/>
  <c r="CL35" i="1"/>
  <c r="CM35" i="1" s="1"/>
  <c r="CN53" i="1" s="1"/>
  <c r="AS9" i="1" s="1"/>
  <c r="CS35" i="1"/>
  <c r="CT37" i="1"/>
  <c r="CK56" i="1" s="1"/>
  <c r="CN56" i="1" s="1"/>
  <c r="DA53" i="1" s="1"/>
  <c r="CQ37" i="1"/>
  <c r="CQ36" i="1"/>
  <c r="CL37" i="1"/>
  <c r="CT36" i="1"/>
  <c r="CK57" i="1" s="1"/>
  <c r="V43" i="1"/>
  <c r="DK32" i="1"/>
  <c r="DK33" i="1" s="1"/>
  <c r="DK34" i="1" s="1"/>
  <c r="DL32" i="1" s="1"/>
  <c r="DL33" i="1" s="1"/>
  <c r="DK47" i="1" l="1"/>
  <c r="DK49" i="1" s="1"/>
  <c r="CV33" i="1" s="1"/>
  <c r="S24" i="1"/>
  <c r="DL26" i="1"/>
  <c r="DL27" i="1" s="1"/>
  <c r="CV31" i="1" s="1"/>
  <c r="CK54" i="1"/>
  <c r="CN54" i="1" s="1"/>
  <c r="CO54" i="1" s="1"/>
  <c r="S27" i="1"/>
  <c r="DL36" i="1"/>
  <c r="CV32" i="1" s="1"/>
  <c r="S30" i="1" l="1"/>
  <c r="CW32" i="1"/>
  <c r="AS10" i="1"/>
  <c r="AN10" i="1" s="1"/>
  <c r="CW33" i="1"/>
  <c r="CX33" i="1" l="1"/>
  <c r="CX34" i="1" s="1"/>
  <c r="CX35" i="1" s="1"/>
  <c r="F7" i="1" s="1"/>
  <c r="S37" i="1" s="1"/>
  <c r="AD15" i="1"/>
  <c r="CN52" i="1"/>
  <c r="AS12" i="1"/>
  <c r="AS11" i="1"/>
  <c r="CU54" i="1"/>
  <c r="CT54" i="1"/>
  <c r="DD53" i="1" s="1"/>
  <c r="CT53" i="1"/>
  <c r="CU53" i="1"/>
  <c r="DA54" i="1"/>
  <c r="DD54" i="1" s="1"/>
  <c r="DB53" i="1"/>
  <c r="DB52" i="1"/>
  <c r="DE52" i="1" s="1"/>
  <c r="CZ32" i="1" l="1"/>
  <c r="CZ33" i="1" s="1"/>
  <c r="CZ34" i="1" s="1"/>
  <c r="CZ35" i="1" s="1"/>
  <c r="CZ36" i="1" l="1"/>
  <c r="CZ37" i="1" s="1"/>
  <c r="CZ38" i="1" s="1"/>
  <c r="DB32" i="1" s="1"/>
  <c r="DB38" i="1" s="1"/>
  <c r="DC32" i="1" s="1"/>
  <c r="DD33" i="1" l="1"/>
  <c r="DC35" i="1" s="1"/>
  <c r="DC36" i="1" s="1"/>
  <c r="DC38" i="1" s="1"/>
  <c r="J9" i="1" s="1"/>
  <c r="S38" i="1" s="1"/>
  <c r="S33" i="1"/>
</calcChain>
</file>

<file path=xl/sharedStrings.xml><?xml version="1.0" encoding="utf-8"?>
<sst xmlns="http://schemas.openxmlformats.org/spreadsheetml/2006/main" count="254" uniqueCount="172">
  <si>
    <t>Cliente/emp.</t>
  </si>
  <si>
    <t>m</t>
  </si>
  <si>
    <t>Altura da fundação</t>
  </si>
  <si>
    <t>mm</t>
  </si>
  <si>
    <t>tf</t>
  </si>
  <si>
    <t>cm</t>
  </si>
  <si>
    <t>fck</t>
  </si>
  <si>
    <t>kg/cm²</t>
  </si>
  <si>
    <t>CA</t>
  </si>
  <si>
    <t>Carga compressão</t>
  </si>
  <si>
    <t>Carga Horizontal</t>
  </si>
  <si>
    <t>Momento</t>
  </si>
  <si>
    <t>Carga Tração</t>
  </si>
  <si>
    <t>Selecione o tipo de fundação</t>
  </si>
  <si>
    <t>Selecione</t>
  </si>
  <si>
    <t>Aço principal</t>
  </si>
  <si>
    <t>Diâmetro seção circular</t>
  </si>
  <si>
    <t>Aço dos estribos</t>
  </si>
  <si>
    <t>yc</t>
  </si>
  <si>
    <t>aço</t>
  </si>
  <si>
    <t>fcd</t>
  </si>
  <si>
    <t>fyd</t>
  </si>
  <si>
    <t>Nd(1+6/h)</t>
  </si>
  <si>
    <t>0,85Ac.fcd+As.fyd</t>
  </si>
  <si>
    <t>Ac</t>
  </si>
  <si>
    <t>As</t>
  </si>
  <si>
    <t>Compressão</t>
  </si>
  <si>
    <t>As min</t>
  </si>
  <si>
    <t>As de compressão</t>
  </si>
  <si>
    <t>cm²</t>
  </si>
  <si>
    <t>ftk</t>
  </si>
  <si>
    <t>Nb</t>
  </si>
  <si>
    <t>w</t>
  </si>
  <si>
    <t>tração</t>
  </si>
  <si>
    <t>Es</t>
  </si>
  <si>
    <t>s</t>
  </si>
  <si>
    <t>As de tração</t>
  </si>
  <si>
    <t>Db</t>
  </si>
  <si>
    <t>Dw</t>
  </si>
  <si>
    <t>Dw/Db</t>
  </si>
  <si>
    <t>25/50</t>
  </si>
  <si>
    <t>Atrito lateral da fund</t>
  </si>
  <si>
    <t>As de momento</t>
  </si>
  <si>
    <t>As min de compressão</t>
  </si>
  <si>
    <t>As min de momento</t>
  </si>
  <si>
    <t>Kg.m</t>
  </si>
  <si>
    <t>Cortante</t>
  </si>
  <si>
    <t>As min de tração</t>
  </si>
  <si>
    <t>Ø</t>
  </si>
  <si>
    <t>Aço longitudinal</t>
  </si>
  <si>
    <t>aço tração</t>
  </si>
  <si>
    <t>Twd</t>
  </si>
  <si>
    <t>td</t>
  </si>
  <si>
    <t>Tc</t>
  </si>
  <si>
    <t>Asw</t>
  </si>
  <si>
    <t>Est</t>
  </si>
  <si>
    <t>Princ</t>
  </si>
  <si>
    <t>Barras</t>
  </si>
  <si>
    <t>C /</t>
  </si>
  <si>
    <t>As min cortante</t>
  </si>
  <si>
    <t>da</t>
  </si>
  <si>
    <t>db</t>
  </si>
  <si>
    <t>As cortante (estribos)</t>
  </si>
  <si>
    <t>Volume de concreto</t>
  </si>
  <si>
    <t>m³</t>
  </si>
  <si>
    <t>Ψ</t>
  </si>
  <si>
    <t>Peso aço longitudinal</t>
  </si>
  <si>
    <t>Peso aço transversal</t>
  </si>
  <si>
    <t>Aço long</t>
  </si>
  <si>
    <t>Aço est</t>
  </si>
  <si>
    <t>kg</t>
  </si>
  <si>
    <t>Cobrimento</t>
  </si>
  <si>
    <t>da/db</t>
  </si>
  <si>
    <t>NB</t>
  </si>
  <si>
    <t>p</t>
  </si>
  <si>
    <t>Planilha cálculo de estaca armada enterrada</t>
  </si>
  <si>
    <t>Aço de estribos</t>
  </si>
  <si>
    <t>Programa de complemento do "Dimensionamento de estaca armada"</t>
  </si>
  <si>
    <t>Carga na estaca (compressão)</t>
  </si>
  <si>
    <t>Diâmetro da estaca</t>
  </si>
  <si>
    <t>Kg</t>
  </si>
  <si>
    <t>Comprimento da estaca</t>
  </si>
  <si>
    <t>Tensão na estaca</t>
  </si>
  <si>
    <t>Kg/cm²</t>
  </si>
  <si>
    <t>Área da seção</t>
  </si>
  <si>
    <t>Comprimento a ser armado</t>
  </si>
  <si>
    <t>Quando menor que 50 não será necessário armação</t>
  </si>
  <si>
    <t>O valor do atrito lateral você poderá obter através do Programa "Carga Adm por SPT"</t>
  </si>
  <si>
    <t>Carga adm lateral (atrito lateral)</t>
  </si>
  <si>
    <t>Comprimento da estaca é, em metros, o comprimento da estaca enterrada.</t>
  </si>
  <si>
    <t>Para utilizar estacas de seção quadrada, insira o valor de um diâmetro circular que seja equivalente em área.</t>
  </si>
  <si>
    <t>Carga na estaca é a carga de compressão do pilar, por exemplo.</t>
  </si>
  <si>
    <t>Comprimento para se armar a estaca quando e somente sob carga de compressão</t>
  </si>
  <si>
    <t>Se o comprimento para armar for maior que o comprimento da própria estaca, isso significa que você deverá rever os valores da estaca. "Comprimento a ser armado" é o valor mínimo a ser armado. Este cálculo não se aplica para estacas onde as cargas atuantes são diversas (compressão, momento, horizontal...).</t>
  </si>
  <si>
    <t>yf</t>
  </si>
  <si>
    <t>γc</t>
  </si>
  <si>
    <t>γf</t>
  </si>
  <si>
    <t>γs</t>
  </si>
  <si>
    <t>Licença:</t>
  </si>
  <si>
    <t>Tipo de solo</t>
  </si>
  <si>
    <t>Areia fofa</t>
  </si>
  <si>
    <t>Areia medianamente</t>
  </si>
  <si>
    <t>Areia compacta</t>
  </si>
  <si>
    <t>Silte muito fofo</t>
  </si>
  <si>
    <t>Situação do solo</t>
  </si>
  <si>
    <t>seca</t>
  </si>
  <si>
    <t>Submersa</t>
  </si>
  <si>
    <t>Seca</t>
  </si>
  <si>
    <t>submersa</t>
  </si>
  <si>
    <t>Argila muito mole</t>
  </si>
  <si>
    <t>Argila média</t>
  </si>
  <si>
    <t>Argila rija</t>
  </si>
  <si>
    <t>Argila muito rija</t>
  </si>
  <si>
    <t>Argila dura</t>
  </si>
  <si>
    <t>nh</t>
  </si>
  <si>
    <t>K</t>
  </si>
  <si>
    <t>T</t>
  </si>
  <si>
    <t>L</t>
  </si>
  <si>
    <t>L&gt;4T</t>
  </si>
  <si>
    <t>Momento inércia seção transversal</t>
  </si>
  <si>
    <t>Comp. Mínimo da estaca</t>
  </si>
  <si>
    <t>Carga horizontal</t>
  </si>
  <si>
    <t>M max</t>
  </si>
  <si>
    <t>ton</t>
  </si>
  <si>
    <t>z</t>
  </si>
  <si>
    <t>Kn.m</t>
  </si>
  <si>
    <t>yo</t>
  </si>
  <si>
    <t>t.m</t>
  </si>
  <si>
    <t>Profundidade momento máximo</t>
  </si>
  <si>
    <t>Momento máximo</t>
  </si>
  <si>
    <t>ton.m</t>
  </si>
  <si>
    <t>Método utilizado</t>
  </si>
  <si>
    <t xml:space="preserve">Hetenyi </t>
  </si>
  <si>
    <t>Miche</t>
  </si>
  <si>
    <t>zult</t>
  </si>
  <si>
    <t>M ulim</t>
  </si>
  <si>
    <t>zmd</t>
  </si>
  <si>
    <t>Mmde</t>
  </si>
  <si>
    <t>Momento ultimo</t>
  </si>
  <si>
    <t>Profundidade ultima</t>
  </si>
  <si>
    <t/>
  </si>
  <si>
    <t>desloc.</t>
  </si>
  <si>
    <t>Deslocamento horizontal</t>
  </si>
  <si>
    <t>Profundidade da estaca</t>
  </si>
  <si>
    <t>Gráfico</t>
  </si>
  <si>
    <t>deslocamento</t>
  </si>
  <si>
    <t>nivel 0</t>
  </si>
  <si>
    <t>nivel ultm</t>
  </si>
  <si>
    <t>nivel total</t>
  </si>
  <si>
    <t>desclocamento</t>
  </si>
  <si>
    <t>Prof. momento máx.</t>
  </si>
  <si>
    <t>Cálculo Momento máximo da estaca tipo longa com topo livre</t>
  </si>
  <si>
    <t>Módulo elastic. Concreto (Mpa)</t>
  </si>
  <si>
    <t>Valores de cálculo</t>
  </si>
  <si>
    <t>Tipo</t>
  </si>
  <si>
    <t>Agressiv. do solo</t>
  </si>
  <si>
    <t>I</t>
  </si>
  <si>
    <t>II</t>
  </si>
  <si>
    <t>III</t>
  </si>
  <si>
    <t>IV</t>
  </si>
  <si>
    <t>Hélice c trado segmentado</t>
  </si>
  <si>
    <t>Estacas sem fluído</t>
  </si>
  <si>
    <t>Estaca com fluído</t>
  </si>
  <si>
    <t>Strauss</t>
  </si>
  <si>
    <t>Franki</t>
  </si>
  <si>
    <t>Tubulão sem revestimento</t>
  </si>
  <si>
    <t>Estacas raiz</t>
  </si>
  <si>
    <t>Mcroestacas</t>
  </si>
  <si>
    <t>Estaca trado vazado segmentado</t>
  </si>
  <si>
    <t>www.sitengenharia.com.br</t>
  </si>
  <si>
    <t>Prof do momento</t>
  </si>
  <si>
    <t xml:space="preserve">Leandro Bertaco Lúcio  CREA-SP:5069233488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</si>
</sst>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"/>
    <numFmt numFmtId="167" formatCode="0.00000"/>
    <numFmt numFmtId="168" formatCode="0.000000"/>
    <numFmt numFmtId="169" formatCode="[$-F400]h:mm:ss\ AM/PM"/>
  </numFmts>
  <fonts count="8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color indexed="23"/>
      <name val="Arial"/>
      <family val="2"/>
    </font>
    <font>
      <b/>
      <sz val="10"/>
      <name val="Arial"/>
      <family val="2"/>
    </font>
    <font>
      <b/>
      <sz val="10"/>
      <color indexed="20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58"/>
      <name val="Arial"/>
      <family val="2"/>
    </font>
    <font>
      <sz val="9"/>
      <name val="Arial"/>
      <family val="2"/>
    </font>
    <font>
      <sz val="8"/>
      <color indexed="46"/>
      <name val="Arial"/>
      <family val="2"/>
    </font>
    <font>
      <sz val="6"/>
      <color indexed="46"/>
      <name val="Arial"/>
      <family val="2"/>
    </font>
    <font>
      <sz val="6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sz val="7"/>
      <color indexed="46"/>
      <name val="Arial"/>
      <family val="2"/>
    </font>
    <font>
      <b/>
      <sz val="9"/>
      <color indexed="10"/>
      <name val="Arial"/>
      <family val="2"/>
    </font>
    <font>
      <b/>
      <sz val="8"/>
      <color indexed="58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46"/>
      <name val="Arial"/>
      <family val="2"/>
    </font>
    <font>
      <sz val="10"/>
      <color indexed="46"/>
      <name val="Arial"/>
      <family val="2"/>
    </font>
    <font>
      <sz val="10"/>
      <color indexed="9"/>
      <name val="Arial"/>
      <family val="2"/>
    </font>
    <font>
      <sz val="8"/>
      <color indexed="22"/>
      <name val="Arial"/>
      <family val="2"/>
    </font>
    <font>
      <b/>
      <sz val="12"/>
      <name val="Arial"/>
      <family val="2"/>
    </font>
    <font>
      <sz val="8"/>
      <color indexed="9"/>
      <name val="Arial"/>
      <family val="2"/>
    </font>
    <font>
      <sz val="10"/>
      <name val="Tahoma"/>
      <family val="2"/>
    </font>
    <font>
      <b/>
      <sz val="8"/>
      <color rgb="FFC00000"/>
      <name val="Arial"/>
      <family val="2"/>
    </font>
    <font>
      <sz val="8"/>
      <color rgb="FFC00000"/>
      <name val="Arial"/>
      <family val="2"/>
    </font>
    <font>
      <b/>
      <i/>
      <sz val="9"/>
      <color rgb="FFC00000"/>
      <name val="Arial"/>
      <family val="2"/>
    </font>
    <font>
      <sz val="3"/>
      <color rgb="FFD3D3D3"/>
      <name val="Arial"/>
      <family val="2"/>
    </font>
    <font>
      <b/>
      <sz val="3"/>
      <color rgb="FFD3D3D3"/>
      <name val="Arial"/>
      <family val="2"/>
    </font>
    <font>
      <i/>
      <sz val="3"/>
      <color rgb="FFD3D3D3"/>
      <name val="Arial"/>
      <family val="2"/>
    </font>
    <font>
      <b/>
      <i/>
      <sz val="3"/>
      <color rgb="FFD3D3D3"/>
      <name val="Arial"/>
      <family val="2"/>
    </font>
    <font>
      <sz val="3"/>
      <color theme="0" tint="-0.14999847407452621"/>
      <name val="Arial"/>
      <family val="2"/>
    </font>
    <font>
      <b/>
      <sz val="10"/>
      <color rgb="FFC00000"/>
      <name val="Tahoma"/>
      <family val="2"/>
    </font>
    <font>
      <sz val="9"/>
      <color theme="0" tint="-0.14999847407452621"/>
      <name val="Arial"/>
      <family val="2"/>
    </font>
    <font>
      <sz val="8"/>
      <color theme="0" tint="-0.14999847407452621"/>
      <name val="Arial"/>
      <family val="2"/>
    </font>
    <font>
      <b/>
      <sz val="8"/>
      <color theme="0" tint="-0.14999847407452621"/>
      <name val="Arial"/>
      <family val="2"/>
    </font>
    <font>
      <b/>
      <i/>
      <sz val="8"/>
      <color theme="0" tint="-0.14999847407452621"/>
      <name val="Arial"/>
      <family val="2"/>
    </font>
    <font>
      <sz val="10"/>
      <color theme="0" tint="-0.14999847407452621"/>
      <name val="Arial"/>
      <family val="2"/>
    </font>
    <font>
      <i/>
      <sz val="8"/>
      <color theme="0" tint="-0.14999847407452621"/>
      <name val="Arial"/>
      <family val="2"/>
    </font>
    <font>
      <b/>
      <sz val="3"/>
      <color theme="0" tint="-0.1499984740745262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color theme="5" tint="-0.249977111117893"/>
      <name val="Arial"/>
      <family val="2"/>
    </font>
    <font>
      <sz val="10"/>
      <color theme="5" tint="-0.249977111117893"/>
      <name val="Arial"/>
      <family val="2"/>
    </font>
    <font>
      <b/>
      <sz val="9"/>
      <color theme="5" tint="-0.249977111117893"/>
      <name val="Arial"/>
      <family val="2"/>
    </font>
    <font>
      <sz val="10"/>
      <color theme="1" tint="0.34998626667073579"/>
      <name val="Arial"/>
      <family val="2"/>
    </font>
    <font>
      <sz val="9"/>
      <color theme="1" tint="0.34998626667073579"/>
      <name val="Arial"/>
      <family val="2"/>
    </font>
    <font>
      <sz val="9"/>
      <color theme="5" tint="-0.249977111117893"/>
      <name val="Arial"/>
      <family val="2"/>
    </font>
    <font>
      <b/>
      <sz val="10"/>
      <color theme="5" tint="-0.249977111117893"/>
      <name val="Arial"/>
      <family val="2"/>
    </font>
    <font>
      <sz val="9"/>
      <color theme="1" tint="0.499984740745262"/>
      <name val="Arial"/>
      <family val="2"/>
    </font>
    <font>
      <sz val="8"/>
      <color theme="1" tint="0.499984740745262"/>
      <name val="Arial"/>
      <family val="2"/>
    </font>
    <font>
      <sz val="10"/>
      <color theme="1" tint="0.499984740745262"/>
      <name val="Arial"/>
      <family val="2"/>
    </font>
    <font>
      <sz val="7"/>
      <color theme="1" tint="0.499984740745262"/>
      <name val="Arial"/>
      <family val="2"/>
    </font>
    <font>
      <sz val="8"/>
      <color theme="1" tint="0.34998626667073579"/>
      <name val="Arial"/>
      <family val="2"/>
    </font>
    <font>
      <sz val="8"/>
      <color rgb="FF0070C0"/>
      <name val="Arial"/>
      <family val="2"/>
    </font>
    <font>
      <sz val="8"/>
      <color rgb="FF0070C0"/>
      <name val="Tahoma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2" tint="-0.499984740745262"/>
      <name val="Arial"/>
      <family val="2"/>
    </font>
    <font>
      <sz val="8"/>
      <color theme="2" tint="-0.249977111117893"/>
      <name val="Arial"/>
      <family val="2"/>
    </font>
    <font>
      <sz val="3"/>
      <color theme="1"/>
      <name val="Arial"/>
      <family val="2"/>
    </font>
    <font>
      <b/>
      <sz val="8"/>
      <color theme="1"/>
      <name val="Arial"/>
      <family val="2"/>
    </font>
    <font>
      <b/>
      <sz val="3"/>
      <color theme="1"/>
      <name val="Arial"/>
      <family val="2"/>
    </font>
    <font>
      <b/>
      <sz val="8"/>
      <color theme="1" tint="0.34998626667073579"/>
      <name val="Arial"/>
      <family val="2"/>
    </font>
    <font>
      <sz val="10"/>
      <color theme="2" tint="-0.749992370372631"/>
      <name val="Arial Unicode MS"/>
      <family val="2"/>
    </font>
    <font>
      <u/>
      <sz val="10"/>
      <color theme="10"/>
      <name val="Arial"/>
      <family val="2"/>
    </font>
    <font>
      <sz val="10"/>
      <color rgb="FF68633A"/>
      <name val="Arial"/>
      <family val="2"/>
    </font>
    <font>
      <sz val="8"/>
      <color rgb="FF68633A"/>
      <name val="Arial"/>
      <family val="2"/>
    </font>
    <font>
      <b/>
      <sz val="9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90909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E3E0C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6D1B8"/>
        <bgColor indexed="64"/>
      </patternFill>
    </fill>
    <fill>
      <patternFill patternType="solid">
        <fgColor rgb="FFBEB68C"/>
        <bgColor indexed="64"/>
      </patternFill>
    </fill>
    <fill>
      <patternFill patternType="solid">
        <fgColor rgb="FFD6D0B4"/>
        <bgColor indexed="64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thin">
        <color indexed="23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9"/>
      </top>
      <bottom style="thin">
        <color indexed="22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9"/>
      </bottom>
      <diagonal/>
    </border>
    <border>
      <left style="thin">
        <color indexed="63"/>
      </left>
      <right/>
      <top style="thin">
        <color indexed="63"/>
      </top>
      <bottom style="thin">
        <color indexed="9"/>
      </bottom>
      <diagonal/>
    </border>
    <border>
      <left/>
      <right/>
      <top style="thin">
        <color indexed="63"/>
      </top>
      <bottom style="thin">
        <color indexed="9"/>
      </bottom>
      <diagonal/>
    </border>
    <border>
      <left/>
      <right style="thin">
        <color indexed="9"/>
      </right>
      <top style="thin">
        <color indexed="63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22"/>
      </left>
      <right/>
      <top style="thin">
        <color theme="0" tint="-0.499984740745262"/>
      </top>
      <bottom style="thin">
        <color indexed="22"/>
      </bottom>
      <diagonal/>
    </border>
    <border>
      <left/>
      <right/>
      <top style="thin">
        <color theme="0" tint="-0.499984740745262"/>
      </top>
      <bottom style="thin">
        <color indexed="22"/>
      </bottom>
      <diagonal/>
    </border>
    <border>
      <left style="thin">
        <color theme="0" tint="-0.49998474074526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49998474074526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theme="0" tint="-0.499984740745262"/>
      </left>
      <right/>
      <top style="thin">
        <color indexed="23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2" tint="-0.749961851863155"/>
      </right>
      <top style="thin">
        <color theme="0"/>
      </top>
      <bottom/>
      <diagonal/>
    </border>
    <border>
      <left/>
      <right style="thin">
        <color theme="2" tint="-0.749961851863155"/>
      </right>
      <top/>
      <bottom/>
      <diagonal/>
    </border>
    <border>
      <left style="thin">
        <color theme="0"/>
      </left>
      <right/>
      <top/>
      <bottom style="thin">
        <color theme="2" tint="-0.749961851863155"/>
      </bottom>
      <diagonal/>
    </border>
    <border>
      <left/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  <border>
      <left/>
      <right/>
      <top style="thin">
        <color theme="2" tint="-0.749961851863155"/>
      </top>
      <bottom/>
      <diagonal/>
    </border>
    <border>
      <left/>
      <right style="thin">
        <color theme="0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/>
      <bottom/>
      <diagonal/>
    </border>
    <border>
      <left style="thin">
        <color theme="2" tint="-0.749961851863155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2" tint="-0.749961851863155"/>
      </bottom>
      <diagonal/>
    </border>
    <border>
      <left/>
      <right/>
      <top style="thin">
        <color theme="0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0"/>
      </top>
      <bottom style="thin">
        <color theme="2" tint="-0.749961851863155"/>
      </bottom>
      <diagonal/>
    </border>
    <border>
      <left/>
      <right style="thin">
        <color theme="0" tint="-0.499984740745262"/>
      </right>
      <top style="thin">
        <color theme="1" tint="0.24994659260841701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0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 style="thin">
        <color theme="0"/>
      </bottom>
      <diagonal/>
    </border>
    <border>
      <left style="thin">
        <color theme="2" tint="-0.24994659260841701"/>
      </left>
      <right/>
      <top style="thin">
        <color theme="2" tint="-0.749961851863155"/>
      </top>
      <bottom style="thin">
        <color theme="2" tint="-0.24994659260841701"/>
      </bottom>
      <diagonal/>
    </border>
    <border>
      <left/>
      <right/>
      <top style="thin">
        <color theme="2" tint="-0.749961851863155"/>
      </top>
      <bottom style="thin">
        <color theme="2" tint="-0.2499465926084170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749961851863155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0"/>
      </bottom>
      <diagonal/>
    </border>
    <border>
      <left/>
      <right/>
      <top style="thin">
        <color theme="2" tint="-0.499984740745262"/>
      </top>
      <bottom style="thin">
        <color theme="0"/>
      </bottom>
      <diagonal/>
    </border>
    <border>
      <left/>
      <right style="thin">
        <color theme="0"/>
      </right>
      <top style="thin">
        <color theme="2" tint="-0.499984740745262"/>
      </top>
      <bottom style="thin">
        <color theme="0"/>
      </bottom>
      <diagonal/>
    </border>
    <border>
      <left style="thin">
        <color theme="2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/>
      <diagonal/>
    </border>
    <border>
      <left style="thin">
        <color theme="2"/>
      </left>
      <right/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 style="thin">
        <color indexed="63"/>
      </bottom>
      <diagonal/>
    </border>
    <border>
      <left/>
      <right style="thin">
        <color theme="0" tint="-0.49998474074526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/>
      <bottom style="thin">
        <color theme="2" tint="-0.749961851863155"/>
      </bottom>
      <diagonal/>
    </border>
    <border>
      <left style="thin">
        <color theme="2"/>
      </left>
      <right style="thin">
        <color theme="2" tint="-0.749961851863155"/>
      </right>
      <top/>
      <bottom/>
      <diagonal/>
    </border>
    <border>
      <left style="thin">
        <color indexed="9"/>
      </left>
      <right/>
      <top/>
      <bottom style="thin">
        <color theme="0"/>
      </bottom>
      <diagonal/>
    </border>
    <border>
      <left/>
      <right style="thin">
        <color theme="0" tint="-0.499984740745262"/>
      </right>
      <top/>
      <bottom style="thin">
        <color theme="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4.9989318521683403E-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4.9989318521683403E-2"/>
      </bottom>
      <diagonal/>
    </border>
    <border>
      <left/>
      <right/>
      <top/>
      <bottom style="thin">
        <color theme="2" tint="-9.9948118533890809E-2"/>
      </bottom>
      <diagonal/>
    </border>
    <border>
      <left style="thin">
        <color indexed="22"/>
      </left>
      <right/>
      <top style="thin">
        <color indexed="22"/>
      </top>
      <bottom style="thin">
        <color theme="2" tint="-0.499984740745262"/>
      </bottom>
      <diagonal/>
    </border>
    <border>
      <left/>
      <right style="thin">
        <color theme="2" tint="-0.24994659260841701"/>
      </right>
      <top style="thin">
        <color indexed="22"/>
      </top>
      <bottom style="thin">
        <color theme="2" tint="-0.499984740745262"/>
      </bottom>
      <diagonal/>
    </border>
    <border>
      <left/>
      <right/>
      <top style="thin">
        <color indexed="22"/>
      </top>
      <bottom style="thin">
        <color theme="2" tint="-0.499984740745262"/>
      </bottom>
      <diagonal/>
    </border>
    <border>
      <left/>
      <right/>
      <top style="thin">
        <color theme="2" tint="-0.749961851863155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2" tint="-0.749961851863155"/>
      </top>
      <bottom style="thin">
        <color theme="0"/>
      </bottom>
      <diagonal/>
    </border>
    <border>
      <left/>
      <right style="thin">
        <color theme="0" tint="-0.499984740745262"/>
      </right>
      <top style="thin">
        <color theme="2" tint="-0.749961851863155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4" fillId="0" borderId="0" applyNumberFormat="0" applyFill="0" applyBorder="0" applyAlignment="0" applyProtection="0"/>
  </cellStyleXfs>
  <cellXfs count="626">
    <xf numFmtId="0" fontId="0" fillId="0" borderId="0" xfId="0"/>
    <xf numFmtId="0" fontId="6" fillId="2" borderId="0" xfId="0" applyFont="1" applyFill="1" applyAlignment="1" applyProtection="1">
      <alignment horizontal="right" wrapText="1"/>
      <protection hidden="1"/>
    </xf>
    <xf numFmtId="0" fontId="8" fillId="2" borderId="0" xfId="0" applyFont="1" applyFill="1" applyAlignment="1" applyProtection="1">
      <alignment horizontal="left" wrapText="1"/>
      <protection hidden="1"/>
    </xf>
    <xf numFmtId="0" fontId="14" fillId="2" borderId="0" xfId="0" applyFont="1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wrapText="1"/>
      <protection hidden="1"/>
    </xf>
    <xf numFmtId="0" fontId="18" fillId="2" borderId="0" xfId="0" applyFont="1" applyFill="1" applyAlignment="1" applyProtection="1">
      <alignment horizontal="right" wrapText="1"/>
      <protection hidden="1"/>
    </xf>
    <xf numFmtId="0" fontId="0" fillId="2" borderId="0" xfId="0" applyFill="1" applyProtection="1">
      <protection hidden="1"/>
    </xf>
    <xf numFmtId="0" fontId="14" fillId="2" borderId="0" xfId="0" applyFont="1" applyFill="1" applyAlignment="1" applyProtection="1">
      <alignment horizontal="left" vertical="center"/>
      <protection hidden="1"/>
    </xf>
    <xf numFmtId="0" fontId="5" fillId="2" borderId="0" xfId="0" applyFont="1" applyFill="1" applyAlignment="1" applyProtection="1">
      <alignment horizontal="right" wrapText="1"/>
      <protection hidden="1"/>
    </xf>
    <xf numFmtId="0" fontId="5" fillId="2" borderId="0" xfId="0" applyFont="1" applyFill="1" applyAlignment="1" applyProtection="1">
      <alignment wrapText="1"/>
      <protection hidden="1"/>
    </xf>
    <xf numFmtId="0" fontId="0" fillId="0" borderId="1" xfId="0" applyBorder="1" applyProtection="1">
      <protection hidden="1"/>
    </xf>
    <xf numFmtId="0" fontId="0" fillId="0" borderId="0" xfId="0" applyProtection="1">
      <protection hidden="1"/>
    </xf>
    <xf numFmtId="0" fontId="22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23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7" fillId="2" borderId="0" xfId="0" applyFont="1" applyFill="1" applyAlignment="1" applyProtection="1">
      <alignment horizontal="center" wrapText="1"/>
      <protection hidden="1"/>
    </xf>
    <xf numFmtId="0" fontId="10" fillId="2" borderId="0" xfId="0" applyFont="1" applyFill="1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textRotation="90"/>
      <protection hidden="1"/>
    </xf>
    <xf numFmtId="0" fontId="10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right"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0" fontId="10" fillId="0" borderId="0" xfId="0" applyFont="1" applyAlignment="1" applyProtection="1">
      <alignment wrapText="1"/>
      <protection hidden="1"/>
    </xf>
    <xf numFmtId="2" fontId="10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2" fontId="13" fillId="0" borderId="0" xfId="0" applyNumberFormat="1" applyFont="1" applyAlignment="1" applyProtection="1">
      <alignment horizontal="left" wrapText="1"/>
      <protection hidden="1"/>
    </xf>
    <xf numFmtId="0" fontId="2" fillId="0" borderId="0" xfId="0" applyFont="1" applyAlignment="1" applyProtection="1">
      <alignment horizontal="left" wrapText="1"/>
      <protection hidden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right" vertical="center" wrapText="1"/>
      <protection hidden="1"/>
    </xf>
    <xf numFmtId="166" fontId="14" fillId="0" borderId="0" xfId="0" applyNumberFormat="1" applyFont="1" applyAlignment="1" applyProtection="1">
      <alignment horizontal="right" vertical="center" wrapText="1"/>
      <protection hidden="1"/>
    </xf>
    <xf numFmtId="0" fontId="14" fillId="0" borderId="0" xfId="0" applyFont="1" applyAlignment="1" applyProtection="1">
      <alignment horizontal="right" vertical="center" wrapText="1"/>
      <protection hidden="1"/>
    </xf>
    <xf numFmtId="0" fontId="26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2" fontId="14" fillId="0" borderId="0" xfId="0" applyNumberFormat="1" applyFont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right" wrapText="1"/>
      <protection hidden="1"/>
    </xf>
    <xf numFmtId="0" fontId="10" fillId="0" borderId="0" xfId="0" applyFont="1" applyAlignment="1" applyProtection="1">
      <alignment horizontal="right" wrapText="1"/>
      <protection hidden="1"/>
    </xf>
    <xf numFmtId="0" fontId="24" fillId="0" borderId="0" xfId="0" applyFont="1" applyAlignment="1" applyProtection="1">
      <alignment wrapText="1"/>
      <protection hidden="1"/>
    </xf>
    <xf numFmtId="0" fontId="24" fillId="0" borderId="0" xfId="0" applyFont="1" applyAlignment="1" applyProtection="1">
      <alignment vertical="center"/>
      <protection hidden="1"/>
    </xf>
    <xf numFmtId="2" fontId="14" fillId="0" borderId="0" xfId="0" applyNumberFormat="1" applyFont="1" applyAlignment="1" applyProtection="1">
      <alignment horizontal="left" vertical="center" wrapText="1"/>
      <protection hidden="1"/>
    </xf>
    <xf numFmtId="2" fontId="9" fillId="0" borderId="0" xfId="0" applyNumberFormat="1" applyFont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right" wrapText="1"/>
      <protection hidden="1"/>
    </xf>
    <xf numFmtId="0" fontId="19" fillId="0" borderId="0" xfId="0" applyFont="1" applyAlignment="1" applyProtection="1">
      <alignment horizontal="right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5" fillId="0" borderId="0" xfId="0" applyFont="1" applyAlignment="1" applyProtection="1">
      <alignment horizontal="center" textRotation="93" wrapText="1"/>
      <protection hidden="1"/>
    </xf>
    <xf numFmtId="0" fontId="10" fillId="0" borderId="0" xfId="0" applyFont="1" applyAlignment="1" applyProtection="1">
      <alignment horizontal="center" textRotation="93" wrapText="1"/>
      <protection hidden="1"/>
    </xf>
    <xf numFmtId="2" fontId="7" fillId="0" borderId="0" xfId="0" applyNumberFormat="1" applyFont="1" applyAlignment="1" applyProtection="1">
      <alignment horizontal="center" wrapText="1"/>
      <protection hidden="1"/>
    </xf>
    <xf numFmtId="2" fontId="2" fillId="0" borderId="0" xfId="0" applyNumberFormat="1" applyFont="1" applyAlignment="1" applyProtection="1">
      <alignment horizontal="center" wrapText="1"/>
      <protection hidden="1"/>
    </xf>
    <xf numFmtId="0" fontId="12" fillId="0" borderId="0" xfId="0" applyFont="1" applyAlignment="1" applyProtection="1">
      <alignment horizontal="right" wrapText="1"/>
      <protection hidden="1"/>
    </xf>
    <xf numFmtId="0" fontId="28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5" fillId="0" borderId="0" xfId="0" applyFont="1" applyProtection="1">
      <protection hidden="1"/>
    </xf>
    <xf numFmtId="0" fontId="23" fillId="0" borderId="0" xfId="0" applyFont="1" applyAlignment="1" applyProtection="1">
      <alignment horizontal="left" textRotation="90" wrapText="1"/>
      <protection hidden="1"/>
    </xf>
    <xf numFmtId="0" fontId="5" fillId="0" borderId="0" xfId="0" applyFont="1" applyAlignment="1" applyProtection="1">
      <alignment wrapText="1"/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14" fillId="0" borderId="0" xfId="0" applyFont="1" applyAlignment="1" applyProtection="1">
      <alignment horizontal="right" wrapText="1"/>
      <protection hidden="1"/>
    </xf>
    <xf numFmtId="0" fontId="5" fillId="0" borderId="0" xfId="0" applyFont="1" applyAlignment="1" applyProtection="1">
      <alignment horizontal="center" vertical="center" textRotation="90" wrapText="1"/>
      <protection hidden="1"/>
    </xf>
    <xf numFmtId="0" fontId="22" fillId="0" borderId="0" xfId="0" applyFont="1" applyAlignment="1" applyProtection="1">
      <alignment wrapText="1"/>
      <protection hidden="1"/>
    </xf>
    <xf numFmtId="0" fontId="23" fillId="0" borderId="0" xfId="0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15" fillId="0" borderId="0" xfId="0" applyFont="1" applyAlignment="1" applyProtection="1">
      <alignment horizontal="center" wrapText="1"/>
      <protection hidden="1"/>
    </xf>
    <xf numFmtId="0" fontId="14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center" textRotation="90"/>
      <protection hidden="1"/>
    </xf>
    <xf numFmtId="2" fontId="10" fillId="0" borderId="0" xfId="0" applyNumberFormat="1" applyFont="1" applyAlignment="1" applyProtection="1">
      <alignment horizontal="center" wrapText="1"/>
      <protection hidden="1"/>
    </xf>
    <xf numFmtId="2" fontId="0" fillId="0" borderId="0" xfId="0" applyNumberFormat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right"/>
      <protection hidden="1"/>
    </xf>
    <xf numFmtId="2" fontId="15" fillId="0" borderId="0" xfId="0" applyNumberFormat="1" applyFont="1" applyAlignment="1" applyProtection="1">
      <alignment horizontal="center" wrapText="1"/>
      <protection hidden="1"/>
    </xf>
    <xf numFmtId="166" fontId="10" fillId="0" borderId="0" xfId="0" applyNumberFormat="1" applyFont="1" applyAlignment="1" applyProtection="1">
      <alignment horizontal="center" wrapText="1"/>
      <protection hidden="1"/>
    </xf>
    <xf numFmtId="2" fontId="10" fillId="0" borderId="0" xfId="0" applyNumberFormat="1" applyFont="1" applyAlignment="1" applyProtection="1">
      <alignment horizontal="right" wrapText="1"/>
      <protection hidden="1"/>
    </xf>
    <xf numFmtId="167" fontId="10" fillId="0" borderId="0" xfId="0" applyNumberFormat="1" applyFont="1" applyAlignment="1" applyProtection="1">
      <alignment horizontal="center" wrapText="1"/>
      <protection hidden="1"/>
    </xf>
    <xf numFmtId="1" fontId="10" fillId="0" borderId="0" xfId="0" applyNumberFormat="1" applyFont="1" applyAlignment="1" applyProtection="1">
      <alignment horizontal="right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2" fillId="0" borderId="0" xfId="0" applyFont="1" applyProtection="1">
      <protection hidden="1"/>
    </xf>
    <xf numFmtId="0" fontId="8" fillId="2" borderId="10" xfId="0" applyFont="1" applyFill="1" applyBorder="1" applyAlignment="1" applyProtection="1">
      <alignment horizontal="left" wrapText="1"/>
      <protection hidden="1"/>
    </xf>
    <xf numFmtId="0" fontId="37" fillId="3" borderId="0" xfId="0" applyFont="1" applyFill="1" applyProtection="1">
      <protection hidden="1"/>
    </xf>
    <xf numFmtId="0" fontId="1" fillId="3" borderId="0" xfId="0" applyFont="1" applyFill="1" applyProtection="1">
      <protection hidden="1"/>
    </xf>
    <xf numFmtId="3" fontId="1" fillId="4" borderId="11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left"/>
      <protection hidden="1"/>
    </xf>
    <xf numFmtId="0" fontId="1" fillId="4" borderId="11" xfId="0" applyFont="1" applyFill="1" applyBorder="1" applyAlignment="1" applyProtection="1">
      <alignment horizontal="center"/>
      <protection locked="0"/>
    </xf>
    <xf numFmtId="0" fontId="1" fillId="4" borderId="12" xfId="0" applyFont="1" applyFill="1" applyBorder="1" applyAlignment="1" applyProtection="1">
      <alignment horizontal="center"/>
      <protection locked="0"/>
    </xf>
    <xf numFmtId="165" fontId="1" fillId="3" borderId="0" xfId="0" applyNumberFormat="1" applyFont="1" applyFill="1" applyAlignment="1" applyProtection="1">
      <alignment horizontal="center"/>
      <protection hidden="1"/>
    </xf>
    <xf numFmtId="0" fontId="23" fillId="3" borderId="0" xfId="0" applyFont="1" applyFill="1" applyAlignment="1" applyProtection="1">
      <alignment horizontal="left"/>
      <protection hidden="1"/>
    </xf>
    <xf numFmtId="165" fontId="38" fillId="3" borderId="0" xfId="0" applyNumberFormat="1" applyFont="1" applyFill="1" applyAlignment="1" applyProtection="1">
      <alignment horizontal="left"/>
      <protection hidden="1"/>
    </xf>
    <xf numFmtId="165" fontId="39" fillId="3" borderId="0" xfId="0" applyNumberFormat="1" applyFont="1" applyFill="1" applyAlignment="1" applyProtection="1">
      <alignment horizontal="center"/>
      <protection hidden="1"/>
    </xf>
    <xf numFmtId="0" fontId="39" fillId="3" borderId="0" xfId="0" applyFont="1" applyFill="1" applyAlignment="1" applyProtection="1">
      <alignment horizontal="left"/>
      <protection hidden="1"/>
    </xf>
    <xf numFmtId="0" fontId="39" fillId="3" borderId="0" xfId="0" applyFont="1" applyFill="1" applyProtection="1">
      <protection hidden="1"/>
    </xf>
    <xf numFmtId="0" fontId="40" fillId="3" borderId="0" xfId="0" applyFont="1" applyFill="1" applyProtection="1">
      <protection hidden="1"/>
    </xf>
    <xf numFmtId="0" fontId="1" fillId="3" borderId="0" xfId="0" applyFont="1" applyFill="1" applyAlignment="1" applyProtection="1">
      <alignment horizontal="right"/>
      <protection hidden="1"/>
    </xf>
    <xf numFmtId="0" fontId="14" fillId="5" borderId="28" xfId="0" applyFont="1" applyFill="1" applyBorder="1" applyProtection="1">
      <protection hidden="1"/>
    </xf>
    <xf numFmtId="0" fontId="14" fillId="5" borderId="0" xfId="0" applyFont="1" applyFill="1" applyProtection="1">
      <protection hidden="1"/>
    </xf>
    <xf numFmtId="0" fontId="0" fillId="5" borderId="23" xfId="0" applyFill="1" applyBorder="1" applyProtection="1">
      <protection hidden="1"/>
    </xf>
    <xf numFmtId="0" fontId="2" fillId="5" borderId="23" xfId="0" applyFont="1" applyFill="1" applyBorder="1" applyProtection="1">
      <protection hidden="1"/>
    </xf>
    <xf numFmtId="0" fontId="14" fillId="5" borderId="0" xfId="0" applyFont="1" applyFill="1" applyAlignment="1" applyProtection="1">
      <alignment horizontal="center"/>
      <protection hidden="1"/>
    </xf>
    <xf numFmtId="0" fontId="14" fillId="5" borderId="32" xfId="0" applyFont="1" applyFill="1" applyBorder="1" applyProtection="1">
      <protection hidden="1"/>
    </xf>
    <xf numFmtId="0" fontId="22" fillId="5" borderId="23" xfId="0" applyFont="1" applyFill="1" applyBorder="1" applyProtection="1">
      <protection hidden="1"/>
    </xf>
    <xf numFmtId="0" fontId="24" fillId="5" borderId="23" xfId="0" applyFont="1" applyFill="1" applyBorder="1" applyProtection="1">
      <protection hidden="1"/>
    </xf>
    <xf numFmtId="0" fontId="26" fillId="5" borderId="23" xfId="0" applyFont="1" applyFill="1" applyBorder="1" applyProtection="1">
      <protection hidden="1"/>
    </xf>
    <xf numFmtId="0" fontId="0" fillId="6" borderId="0" xfId="0" applyFill="1" applyProtection="1">
      <protection hidden="1"/>
    </xf>
    <xf numFmtId="0" fontId="14" fillId="5" borderId="22" xfId="0" applyFont="1" applyFill="1" applyBorder="1" applyProtection="1">
      <protection hidden="1"/>
    </xf>
    <xf numFmtId="0" fontId="45" fillId="5" borderId="0" xfId="0" applyFont="1" applyFill="1" applyProtection="1">
      <protection hidden="1"/>
    </xf>
    <xf numFmtId="0" fontId="46" fillId="5" borderId="0" xfId="0" applyFont="1" applyFill="1" applyAlignment="1" applyProtection="1">
      <alignment horizontal="center"/>
      <protection hidden="1"/>
    </xf>
    <xf numFmtId="0" fontId="45" fillId="5" borderId="0" xfId="0" applyFont="1" applyFill="1" applyAlignment="1" applyProtection="1">
      <alignment horizontal="center"/>
      <protection hidden="1"/>
    </xf>
    <xf numFmtId="2" fontId="45" fillId="5" borderId="0" xfId="0" applyNumberFormat="1" applyFont="1" applyFill="1" applyAlignment="1" applyProtection="1">
      <alignment horizontal="center"/>
      <protection hidden="1"/>
    </xf>
    <xf numFmtId="0" fontId="47" fillId="5" borderId="0" xfId="0" applyFont="1" applyFill="1" applyAlignment="1" applyProtection="1">
      <alignment horizontal="center"/>
      <protection hidden="1"/>
    </xf>
    <xf numFmtId="2" fontId="46" fillId="5" borderId="0" xfId="0" applyNumberFormat="1" applyFont="1" applyFill="1" applyAlignment="1" applyProtection="1">
      <alignment horizontal="center"/>
      <protection hidden="1"/>
    </xf>
    <xf numFmtId="0" fontId="45" fillId="5" borderId="0" xfId="0" applyFont="1" applyFill="1" applyAlignment="1" applyProtection="1">
      <alignment horizontal="center" textRotation="90"/>
      <protection hidden="1"/>
    </xf>
    <xf numFmtId="165" fontId="46" fillId="5" borderId="0" xfId="0" applyNumberFormat="1" applyFont="1" applyFill="1" applyAlignment="1" applyProtection="1">
      <alignment horizontal="center"/>
      <protection hidden="1"/>
    </xf>
    <xf numFmtId="0" fontId="48" fillId="5" borderId="0" xfId="0" applyFont="1" applyFill="1" applyAlignment="1" applyProtection="1">
      <alignment horizontal="center"/>
      <protection hidden="1"/>
    </xf>
    <xf numFmtId="0" fontId="45" fillId="5" borderId="0" xfId="0" applyFont="1" applyFill="1" applyAlignment="1" applyProtection="1">
      <alignment horizontal="left"/>
      <protection hidden="1"/>
    </xf>
    <xf numFmtId="164" fontId="45" fillId="5" borderId="0" xfId="0" applyNumberFormat="1" applyFont="1" applyFill="1" applyAlignment="1" applyProtection="1">
      <alignment horizontal="left"/>
      <protection hidden="1"/>
    </xf>
    <xf numFmtId="0" fontId="2" fillId="6" borderId="0" xfId="0" applyFont="1" applyFill="1" applyProtection="1">
      <protection hidden="1"/>
    </xf>
    <xf numFmtId="0" fontId="41" fillId="6" borderId="0" xfId="0" applyFont="1" applyFill="1" applyAlignment="1" applyProtection="1">
      <alignment horizontal="left" textRotation="90" wrapText="1"/>
      <protection hidden="1"/>
    </xf>
    <xf numFmtId="0" fontId="41" fillId="6" borderId="0" xfId="0" applyFont="1" applyFill="1" applyAlignment="1">
      <alignment horizontal="left" textRotation="90" wrapText="1"/>
    </xf>
    <xf numFmtId="0" fontId="24" fillId="6" borderId="0" xfId="0" applyFont="1" applyFill="1" applyProtection="1">
      <protection hidden="1"/>
    </xf>
    <xf numFmtId="0" fontId="21" fillId="6" borderId="0" xfId="0" applyFont="1" applyFill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center" wrapText="1"/>
      <protection locked="0" hidden="1"/>
    </xf>
    <xf numFmtId="0" fontId="2" fillId="6" borderId="39" xfId="0" applyFont="1" applyFill="1" applyBorder="1" applyProtection="1">
      <protection hidden="1"/>
    </xf>
    <xf numFmtId="0" fontId="2" fillId="6" borderId="32" xfId="0" applyFont="1" applyFill="1" applyBorder="1" applyProtection="1">
      <protection hidden="1"/>
    </xf>
    <xf numFmtId="0" fontId="51" fillId="5" borderId="30" xfId="0" applyFont="1" applyFill="1" applyBorder="1" applyProtection="1">
      <protection hidden="1"/>
    </xf>
    <xf numFmtId="0" fontId="51" fillId="5" borderId="22" xfId="0" applyFont="1" applyFill="1" applyBorder="1" applyProtection="1">
      <protection hidden="1"/>
    </xf>
    <xf numFmtId="0" fontId="55" fillId="5" borderId="22" xfId="0" applyFont="1" applyFill="1" applyBorder="1" applyAlignment="1">
      <alignment textRotation="90"/>
    </xf>
    <xf numFmtId="0" fontId="51" fillId="5" borderId="33" xfId="0" applyFont="1" applyFill="1" applyBorder="1" applyProtection="1">
      <protection hidden="1"/>
    </xf>
    <xf numFmtId="0" fontId="10" fillId="7" borderId="1" xfId="0" applyFont="1" applyFill="1" applyBorder="1" applyAlignment="1" applyProtection="1">
      <alignment horizontal="center" wrapText="1"/>
      <protection hidden="1"/>
    </xf>
    <xf numFmtId="0" fontId="7" fillId="7" borderId="0" xfId="0" applyFont="1" applyFill="1" applyAlignment="1" applyProtection="1">
      <alignment horizontal="center" wrapText="1"/>
      <protection hidden="1"/>
    </xf>
    <xf numFmtId="0" fontId="6" fillId="7" borderId="0" xfId="0" applyFont="1" applyFill="1" applyAlignment="1" applyProtection="1">
      <alignment horizontal="right" wrapText="1"/>
      <protection hidden="1"/>
    </xf>
    <xf numFmtId="0" fontId="8" fillId="7" borderId="27" xfId="0" applyFont="1" applyFill="1" applyBorder="1" applyAlignment="1" applyProtection="1">
      <alignment horizontal="left" wrapText="1"/>
      <protection hidden="1"/>
    </xf>
    <xf numFmtId="0" fontId="0" fillId="9" borderId="29" xfId="0" applyFill="1" applyBorder="1" applyAlignment="1" applyProtection="1">
      <alignment horizontal="center"/>
      <protection locked="0" hidden="1"/>
    </xf>
    <xf numFmtId="0" fontId="14" fillId="9" borderId="28" xfId="0" applyFont="1" applyFill="1" applyBorder="1" applyProtection="1">
      <protection hidden="1"/>
    </xf>
    <xf numFmtId="0" fontId="14" fillId="9" borderId="30" xfId="0" applyFont="1" applyFill="1" applyBorder="1" applyProtection="1">
      <protection hidden="1"/>
    </xf>
    <xf numFmtId="0" fontId="5" fillId="9" borderId="23" xfId="0" applyFont="1" applyFill="1" applyBorder="1" applyAlignment="1" applyProtection="1">
      <alignment horizontal="center" wrapText="1"/>
      <protection locked="0" hidden="1"/>
    </xf>
    <xf numFmtId="0" fontId="14" fillId="9" borderId="0" xfId="0" applyFont="1" applyFill="1" applyProtection="1">
      <protection hidden="1"/>
    </xf>
    <xf numFmtId="0" fontId="14" fillId="9" borderId="22" xfId="0" applyFont="1" applyFill="1" applyBorder="1" applyProtection="1">
      <protection hidden="1"/>
    </xf>
    <xf numFmtId="0" fontId="9" fillId="9" borderId="0" xfId="0" applyFont="1" applyFill="1" applyAlignment="1" applyProtection="1">
      <alignment horizontal="center"/>
      <protection hidden="1"/>
    </xf>
    <xf numFmtId="0" fontId="0" fillId="9" borderId="23" xfId="0" applyFill="1" applyBorder="1" applyProtection="1">
      <protection hidden="1"/>
    </xf>
    <xf numFmtId="2" fontId="9" fillId="9" borderId="0" xfId="0" applyNumberFormat="1" applyFont="1" applyFill="1" applyAlignment="1" applyProtection="1">
      <alignment horizontal="center"/>
      <protection hidden="1"/>
    </xf>
    <xf numFmtId="0" fontId="21" fillId="9" borderId="23" xfId="0" applyFont="1" applyFill="1" applyBorder="1" applyAlignment="1" applyProtection="1">
      <alignment horizontal="center"/>
      <protection hidden="1"/>
    </xf>
    <xf numFmtId="0" fontId="24" fillId="9" borderId="23" xfId="0" applyFont="1" applyFill="1" applyBorder="1" applyProtection="1">
      <protection hidden="1"/>
    </xf>
    <xf numFmtId="0" fontId="24" fillId="9" borderId="0" xfId="0" applyFont="1" applyFill="1" applyProtection="1">
      <protection hidden="1"/>
    </xf>
    <xf numFmtId="0" fontId="5" fillId="9" borderId="0" xfId="0" applyFont="1" applyFill="1" applyProtection="1">
      <protection hidden="1"/>
    </xf>
    <xf numFmtId="0" fontId="14" fillId="9" borderId="8" xfId="0" applyFont="1" applyFill="1" applyBorder="1" applyProtection="1">
      <protection hidden="1"/>
    </xf>
    <xf numFmtId="0" fontId="2" fillId="9" borderId="23" xfId="0" applyFont="1" applyFill="1" applyBorder="1" applyProtection="1">
      <protection hidden="1"/>
    </xf>
    <xf numFmtId="0" fontId="41" fillId="9" borderId="23" xfId="0" applyFont="1" applyFill="1" applyBorder="1" applyAlignment="1" applyProtection="1">
      <alignment horizontal="left" textRotation="90" wrapText="1"/>
      <protection hidden="1"/>
    </xf>
    <xf numFmtId="0" fontId="41" fillId="9" borderId="23" xfId="0" applyFont="1" applyFill="1" applyBorder="1" applyAlignment="1">
      <alignment horizontal="left" textRotation="90" wrapText="1"/>
    </xf>
    <xf numFmtId="0" fontId="7" fillId="9" borderId="0" xfId="0" applyFont="1" applyFill="1" applyAlignment="1">
      <alignment horizontal="left" textRotation="90"/>
    </xf>
    <xf numFmtId="0" fontId="14" fillId="9" borderId="0" xfId="0" applyFont="1" applyFill="1" applyAlignment="1" applyProtection="1">
      <alignment horizontal="center"/>
      <protection hidden="1"/>
    </xf>
    <xf numFmtId="0" fontId="14" fillId="9" borderId="22" xfId="0" applyFont="1" applyFill="1" applyBorder="1" applyAlignment="1" applyProtection="1">
      <alignment horizontal="center"/>
      <protection hidden="1"/>
    </xf>
    <xf numFmtId="0" fontId="2" fillId="9" borderId="31" xfId="0" applyFont="1" applyFill="1" applyBorder="1" applyProtection="1">
      <protection hidden="1"/>
    </xf>
    <xf numFmtId="0" fontId="14" fillId="9" borderId="32" xfId="0" applyFont="1" applyFill="1" applyBorder="1" applyProtection="1">
      <protection hidden="1"/>
    </xf>
    <xf numFmtId="0" fontId="14" fillId="9" borderId="33" xfId="0" applyFont="1" applyFill="1" applyBorder="1" applyProtection="1">
      <protection hidden="1"/>
    </xf>
    <xf numFmtId="0" fontId="0" fillId="9" borderId="0" xfId="0" applyFill="1" applyAlignment="1" applyProtection="1">
      <alignment horizontal="left"/>
      <protection hidden="1"/>
    </xf>
    <xf numFmtId="1" fontId="33" fillId="9" borderId="0" xfId="0" applyNumberFormat="1" applyFont="1" applyFill="1" applyAlignment="1" applyProtection="1">
      <alignment horizontal="right" vertical="center" wrapText="1"/>
      <protection hidden="1"/>
    </xf>
    <xf numFmtId="0" fontId="2" fillId="9" borderId="0" xfId="0" applyFont="1" applyFill="1" applyAlignment="1" applyProtection="1">
      <alignment horizontal="left"/>
      <protection hidden="1"/>
    </xf>
    <xf numFmtId="1" fontId="23" fillId="9" borderId="0" xfId="0" applyNumberFormat="1" applyFont="1" applyFill="1" applyAlignment="1" applyProtection="1">
      <alignment horizontal="right" vertical="center" wrapText="1"/>
      <protection hidden="1"/>
    </xf>
    <xf numFmtId="1" fontId="34" fillId="9" borderId="0" xfId="0" applyNumberFormat="1" applyFont="1" applyFill="1" applyAlignment="1" applyProtection="1">
      <alignment horizontal="right" vertical="center"/>
      <protection hidden="1"/>
    </xf>
    <xf numFmtId="1" fontId="23" fillId="9" borderId="0" xfId="0" applyNumberFormat="1" applyFont="1" applyFill="1" applyAlignment="1" applyProtection="1">
      <alignment horizontal="right" vertical="center"/>
      <protection hidden="1"/>
    </xf>
    <xf numFmtId="1" fontId="33" fillId="9" borderId="7" xfId="0" applyNumberFormat="1" applyFont="1" applyFill="1" applyBorder="1" applyAlignment="1" applyProtection="1">
      <alignment horizontal="right" vertical="center" wrapText="1"/>
      <protection hidden="1"/>
    </xf>
    <xf numFmtId="1" fontId="23" fillId="9" borderId="7" xfId="0" applyNumberFormat="1" applyFont="1" applyFill="1" applyBorder="1" applyAlignment="1" applyProtection="1">
      <alignment horizontal="right" vertical="center"/>
      <protection hidden="1"/>
    </xf>
    <xf numFmtId="0" fontId="7" fillId="9" borderId="7" xfId="0" applyFont="1" applyFill="1" applyBorder="1" applyAlignment="1" applyProtection="1">
      <alignment horizontal="center"/>
      <protection hidden="1"/>
    </xf>
    <xf numFmtId="0" fontId="0" fillId="9" borderId="0" xfId="0" applyFill="1" applyProtection="1">
      <protection hidden="1"/>
    </xf>
    <xf numFmtId="0" fontId="0" fillId="9" borderId="22" xfId="0" applyFill="1" applyBorder="1" applyProtection="1">
      <protection hidden="1"/>
    </xf>
    <xf numFmtId="0" fontId="0" fillId="11" borderId="0" xfId="0" applyFill="1" applyProtection="1">
      <protection hidden="1"/>
    </xf>
    <xf numFmtId="0" fontId="6" fillId="11" borderId="0" xfId="0" applyFont="1" applyFill="1" applyAlignment="1" applyProtection="1">
      <alignment horizontal="right" wrapText="1"/>
      <protection hidden="1"/>
    </xf>
    <xf numFmtId="0" fontId="10" fillId="11" borderId="0" xfId="0" applyFont="1" applyFill="1" applyAlignment="1" applyProtection="1">
      <alignment horizontal="center" wrapText="1"/>
      <protection hidden="1"/>
    </xf>
    <xf numFmtId="0" fontId="7" fillId="11" borderId="0" xfId="0" applyFont="1" applyFill="1" applyAlignment="1" applyProtection="1">
      <alignment horizontal="center" wrapText="1"/>
      <protection hidden="1"/>
    </xf>
    <xf numFmtId="0" fontId="19" fillId="11" borderId="31" xfId="0" applyFont="1" applyFill="1" applyBorder="1" applyAlignment="1" applyProtection="1">
      <alignment horizontal="right" wrapText="1"/>
      <protection hidden="1"/>
    </xf>
    <xf numFmtId="0" fontId="10" fillId="11" borderId="32" xfId="0" applyFont="1" applyFill="1" applyBorder="1" applyAlignment="1" applyProtection="1">
      <alignment horizontal="center" wrapText="1"/>
      <protection hidden="1"/>
    </xf>
    <xf numFmtId="0" fontId="7" fillId="11" borderId="32" xfId="0" applyFont="1" applyFill="1" applyBorder="1" applyAlignment="1" applyProtection="1">
      <alignment horizontal="center" wrapText="1"/>
      <protection hidden="1"/>
    </xf>
    <xf numFmtId="0" fontId="6" fillId="11" borderId="32" xfId="0" applyFont="1" applyFill="1" applyBorder="1" applyAlignment="1" applyProtection="1">
      <alignment horizontal="right" wrapText="1"/>
      <protection hidden="1"/>
    </xf>
    <xf numFmtId="0" fontId="8" fillId="11" borderId="32" xfId="0" applyFont="1" applyFill="1" applyBorder="1" applyAlignment="1" applyProtection="1">
      <alignment horizontal="left" wrapText="1"/>
      <protection hidden="1"/>
    </xf>
    <xf numFmtId="2" fontId="7" fillId="11" borderId="32" xfId="0" applyNumberFormat="1" applyFont="1" applyFill="1" applyBorder="1" applyAlignment="1" applyProtection="1">
      <alignment horizontal="center" wrapText="1"/>
      <protection hidden="1"/>
    </xf>
    <xf numFmtId="0" fontId="0" fillId="11" borderId="32" xfId="0" applyFill="1" applyBorder="1" applyAlignment="1" applyProtection="1">
      <alignment horizontal="center"/>
      <protection hidden="1"/>
    </xf>
    <xf numFmtId="2" fontId="2" fillId="11" borderId="32" xfId="0" applyNumberFormat="1" applyFont="1" applyFill="1" applyBorder="1" applyAlignment="1" applyProtection="1">
      <alignment horizontal="center" wrapText="1"/>
      <protection hidden="1"/>
    </xf>
    <xf numFmtId="0" fontId="2" fillId="11" borderId="32" xfId="0" applyFont="1" applyFill="1" applyBorder="1" applyAlignment="1" applyProtection="1">
      <alignment horizontal="center"/>
      <protection hidden="1"/>
    </xf>
    <xf numFmtId="0" fontId="2" fillId="11" borderId="33" xfId="0" applyFont="1" applyFill="1" applyBorder="1" applyProtection="1">
      <protection hidden="1"/>
    </xf>
    <xf numFmtId="0" fontId="0" fillId="12" borderId="0" xfId="0" applyFill="1" applyProtection="1">
      <protection hidden="1"/>
    </xf>
    <xf numFmtId="2" fontId="2" fillId="12" borderId="0" xfId="0" applyNumberFormat="1" applyFont="1" applyFill="1" applyAlignment="1" applyProtection="1">
      <alignment horizontal="center" wrapText="1"/>
      <protection hidden="1"/>
    </xf>
    <xf numFmtId="0" fontId="72" fillId="12" borderId="0" xfId="0" applyFont="1" applyFill="1" applyAlignment="1" applyProtection="1">
      <alignment horizontal="left"/>
      <protection hidden="1"/>
    </xf>
    <xf numFmtId="0" fontId="12" fillId="12" borderId="0" xfId="0" applyFont="1" applyFill="1" applyAlignment="1" applyProtection="1">
      <alignment horizontal="center" wrapText="1"/>
      <protection hidden="1"/>
    </xf>
    <xf numFmtId="0" fontId="58" fillId="12" borderId="0" xfId="0" applyFont="1" applyFill="1" applyProtection="1">
      <protection hidden="1"/>
    </xf>
    <xf numFmtId="0" fontId="23" fillId="12" borderId="0" xfId="0" applyFont="1" applyFill="1" applyProtection="1">
      <protection hidden="1"/>
    </xf>
    <xf numFmtId="0" fontId="58" fillId="12" borderId="0" xfId="0" applyFont="1" applyFill="1" applyAlignment="1" applyProtection="1">
      <alignment horizontal="right"/>
      <protection hidden="1"/>
    </xf>
    <xf numFmtId="0" fontId="58" fillId="12" borderId="0" xfId="0" applyFont="1" applyFill="1" applyAlignment="1" applyProtection="1">
      <alignment horizontal="left"/>
      <protection hidden="1"/>
    </xf>
    <xf numFmtId="0" fontId="58" fillId="12" borderId="0" xfId="0" applyFont="1" applyFill="1" applyAlignment="1" applyProtection="1">
      <alignment horizontal="center"/>
      <protection hidden="1"/>
    </xf>
    <xf numFmtId="2" fontId="23" fillId="12" borderId="0" xfId="0" applyNumberFormat="1" applyFont="1" applyFill="1" applyAlignment="1" applyProtection="1">
      <alignment horizontal="center" wrapText="1"/>
      <protection hidden="1"/>
    </xf>
    <xf numFmtId="165" fontId="25" fillId="12" borderId="0" xfId="0" applyNumberFormat="1" applyFont="1" applyFill="1" applyAlignment="1" applyProtection="1">
      <alignment horizontal="right" wrapText="1"/>
      <protection hidden="1"/>
    </xf>
    <xf numFmtId="0" fontId="23" fillId="12" borderId="0" xfId="0" applyFont="1" applyFill="1" applyAlignment="1" applyProtection="1">
      <alignment horizontal="right" wrapText="1"/>
      <protection hidden="1"/>
    </xf>
    <xf numFmtId="0" fontId="0" fillId="12" borderId="25" xfId="0" applyFill="1" applyBorder="1" applyProtection="1">
      <protection hidden="1"/>
    </xf>
    <xf numFmtId="0" fontId="0" fillId="12" borderId="24" xfId="0" applyFill="1" applyBorder="1" applyProtection="1">
      <protection hidden="1"/>
    </xf>
    <xf numFmtId="0" fontId="2" fillId="12" borderId="42" xfId="0" applyFont="1" applyFill="1" applyBorder="1" applyProtection="1">
      <protection hidden="1"/>
    </xf>
    <xf numFmtId="0" fontId="0" fillId="12" borderId="26" xfId="0" applyFill="1" applyBorder="1" applyProtection="1">
      <protection hidden="1"/>
    </xf>
    <xf numFmtId="0" fontId="12" fillId="12" borderId="26" xfId="0" applyFont="1" applyFill="1" applyBorder="1" applyAlignment="1" applyProtection="1">
      <alignment horizontal="center" wrapText="1"/>
      <protection hidden="1"/>
    </xf>
    <xf numFmtId="0" fontId="5" fillId="12" borderId="26" xfId="0" applyFont="1" applyFill="1" applyBorder="1" applyAlignment="1" applyProtection="1">
      <alignment horizontal="right" wrapText="1"/>
      <protection hidden="1"/>
    </xf>
    <xf numFmtId="0" fontId="6" fillId="12" borderId="26" xfId="0" applyFont="1" applyFill="1" applyBorder="1" applyAlignment="1" applyProtection="1">
      <alignment horizontal="right" wrapText="1"/>
      <protection hidden="1"/>
    </xf>
    <xf numFmtId="0" fontId="0" fillId="12" borderId="26" xfId="0" applyFill="1" applyBorder="1" applyAlignment="1" applyProtection="1">
      <alignment wrapText="1"/>
      <protection hidden="1"/>
    </xf>
    <xf numFmtId="0" fontId="14" fillId="12" borderId="26" xfId="0" applyFont="1" applyFill="1" applyBorder="1" applyAlignment="1" applyProtection="1">
      <alignment horizontal="left" vertical="center"/>
      <protection hidden="1"/>
    </xf>
    <xf numFmtId="0" fontId="14" fillId="12" borderId="26" xfId="0" applyFont="1" applyFill="1" applyBorder="1" applyAlignment="1" applyProtection="1">
      <alignment horizontal="left" vertical="center" wrapText="1"/>
      <protection hidden="1"/>
    </xf>
    <xf numFmtId="0" fontId="5" fillId="12" borderId="26" xfId="0" applyFont="1" applyFill="1" applyBorder="1" applyAlignment="1" applyProtection="1">
      <alignment wrapText="1"/>
      <protection hidden="1"/>
    </xf>
    <xf numFmtId="0" fontId="6" fillId="12" borderId="44" xfId="0" applyFont="1" applyFill="1" applyBorder="1" applyAlignment="1" applyProtection="1">
      <alignment horizontal="right" wrapText="1"/>
      <protection hidden="1"/>
    </xf>
    <xf numFmtId="0" fontId="0" fillId="12" borderId="45" xfId="0" applyFill="1" applyBorder="1" applyProtection="1">
      <protection hidden="1"/>
    </xf>
    <xf numFmtId="0" fontId="50" fillId="12" borderId="0" xfId="0" applyFont="1" applyFill="1" applyAlignment="1">
      <alignment horizontal="right"/>
    </xf>
    <xf numFmtId="0" fontId="14" fillId="12" borderId="26" xfId="0" applyFont="1" applyFill="1" applyBorder="1" applyProtection="1">
      <protection hidden="1"/>
    </xf>
    <xf numFmtId="0" fontId="14" fillId="12" borderId="44" xfId="0" applyFont="1" applyFill="1" applyBorder="1" applyProtection="1">
      <protection hidden="1"/>
    </xf>
    <xf numFmtId="0" fontId="14" fillId="12" borderId="45" xfId="0" applyFont="1" applyFill="1" applyBorder="1" applyProtection="1">
      <protection hidden="1"/>
    </xf>
    <xf numFmtId="0" fontId="14" fillId="12" borderId="46" xfId="0" applyFont="1" applyFill="1" applyBorder="1" applyProtection="1">
      <protection hidden="1"/>
    </xf>
    <xf numFmtId="0" fontId="61" fillId="9" borderId="54" xfId="0" applyFont="1" applyFill="1" applyBorder="1" applyProtection="1">
      <protection hidden="1"/>
    </xf>
    <xf numFmtId="0" fontId="60" fillId="9" borderId="54" xfId="0" applyFont="1" applyFill="1" applyBorder="1" applyAlignment="1" applyProtection="1">
      <alignment horizontal="left"/>
      <protection hidden="1"/>
    </xf>
    <xf numFmtId="0" fontId="0" fillId="9" borderId="55" xfId="0" applyFill="1" applyBorder="1" applyProtection="1">
      <protection hidden="1"/>
    </xf>
    <xf numFmtId="0" fontId="2" fillId="13" borderId="42" xfId="0" applyFont="1" applyFill="1" applyBorder="1" applyProtection="1">
      <protection hidden="1"/>
    </xf>
    <xf numFmtId="0" fontId="2" fillId="13" borderId="43" xfId="0" applyFont="1" applyFill="1" applyBorder="1" applyProtection="1">
      <protection hidden="1"/>
    </xf>
    <xf numFmtId="0" fontId="2" fillId="13" borderId="46" xfId="0" applyFont="1" applyFill="1" applyBorder="1" applyProtection="1">
      <protection hidden="1"/>
    </xf>
    <xf numFmtId="0" fontId="61" fillId="13" borderId="0" xfId="0" applyFont="1" applyFill="1" applyProtection="1">
      <protection hidden="1"/>
    </xf>
    <xf numFmtId="0" fontId="60" fillId="13" borderId="0" xfId="0" applyFont="1" applyFill="1" applyAlignment="1" applyProtection="1">
      <alignment horizontal="left"/>
      <protection hidden="1"/>
    </xf>
    <xf numFmtId="0" fontId="0" fillId="13" borderId="45" xfId="0" applyFill="1" applyBorder="1" applyProtection="1">
      <protection hidden="1"/>
    </xf>
    <xf numFmtId="0" fontId="0" fillId="13" borderId="44" xfId="0" applyFill="1" applyBorder="1" applyProtection="1">
      <protection hidden="1"/>
    </xf>
    <xf numFmtId="0" fontId="6" fillId="13" borderId="25" xfId="0" applyFont="1" applyFill="1" applyBorder="1" applyAlignment="1" applyProtection="1">
      <alignment horizontal="right" wrapText="1"/>
      <protection hidden="1"/>
    </xf>
    <xf numFmtId="0" fontId="6" fillId="13" borderId="26" xfId="0" applyFont="1" applyFill="1" applyBorder="1" applyAlignment="1" applyProtection="1">
      <alignment horizontal="right" wrapText="1"/>
      <protection hidden="1"/>
    </xf>
    <xf numFmtId="0" fontId="0" fillId="13" borderId="24" xfId="0" applyFill="1" applyBorder="1" applyProtection="1">
      <protection hidden="1"/>
    </xf>
    <xf numFmtId="0" fontId="60" fillId="13" borderId="0" xfId="0" applyFont="1" applyFill="1" applyProtection="1">
      <protection hidden="1"/>
    </xf>
    <xf numFmtId="0" fontId="60" fillId="13" borderId="0" xfId="0" applyFont="1" applyFill="1" applyAlignment="1" applyProtection="1">
      <alignment horizontal="left" wrapText="1"/>
      <protection hidden="1"/>
    </xf>
    <xf numFmtId="0" fontId="14" fillId="12" borderId="0" xfId="0" applyFont="1" applyFill="1" applyProtection="1">
      <protection hidden="1"/>
    </xf>
    <xf numFmtId="0" fontId="14" fillId="12" borderId="25" xfId="0" applyFont="1" applyFill="1" applyBorder="1" applyProtection="1">
      <protection hidden="1"/>
    </xf>
    <xf numFmtId="0" fontId="14" fillId="12" borderId="24" xfId="0" applyFont="1" applyFill="1" applyBorder="1" applyProtection="1">
      <protection hidden="1"/>
    </xf>
    <xf numFmtId="0" fontId="14" fillId="12" borderId="42" xfId="0" applyFont="1" applyFill="1" applyBorder="1" applyProtection="1">
      <protection hidden="1"/>
    </xf>
    <xf numFmtId="0" fontId="14" fillId="12" borderId="43" xfId="0" applyFont="1" applyFill="1" applyBorder="1" applyProtection="1">
      <protection hidden="1"/>
    </xf>
    <xf numFmtId="0" fontId="0" fillId="6" borderId="22" xfId="0" applyFill="1" applyBorder="1" applyAlignment="1" applyProtection="1">
      <alignment horizontal="center"/>
      <protection locked="0" hidden="1"/>
    </xf>
    <xf numFmtId="0" fontId="5" fillId="9" borderId="3" xfId="0" applyFont="1" applyFill="1" applyBorder="1" applyAlignment="1" applyProtection="1">
      <alignment horizontal="left"/>
      <protection hidden="1"/>
    </xf>
    <xf numFmtId="0" fontId="7" fillId="10" borderId="38" xfId="0" applyFont="1" applyFill="1" applyBorder="1" applyAlignment="1" applyProtection="1">
      <alignment horizontal="center" vertical="center" wrapText="1"/>
      <protection hidden="1"/>
    </xf>
    <xf numFmtId="0" fontId="0" fillId="10" borderId="4" xfId="0" applyFill="1" applyBorder="1" applyProtection="1">
      <protection hidden="1"/>
    </xf>
    <xf numFmtId="0" fontId="0" fillId="10" borderId="9" xfId="0" applyFill="1" applyBorder="1" applyProtection="1">
      <protection hidden="1"/>
    </xf>
    <xf numFmtId="0" fontId="0" fillId="10" borderId="22" xfId="0" applyFill="1" applyBorder="1" applyProtection="1">
      <protection hidden="1"/>
    </xf>
    <xf numFmtId="0" fontId="0" fillId="10" borderId="23" xfId="0" applyFill="1" applyBorder="1" applyProtection="1">
      <protection hidden="1"/>
    </xf>
    <xf numFmtId="0" fontId="27" fillId="10" borderId="23" xfId="0" applyFont="1" applyFill="1" applyBorder="1" applyAlignment="1" applyProtection="1">
      <alignment horizontal="left" wrapText="1"/>
      <protection hidden="1"/>
    </xf>
    <xf numFmtId="0" fontId="7" fillId="10" borderId="23" xfId="0" applyFont="1" applyFill="1" applyBorder="1" applyAlignment="1" applyProtection="1">
      <alignment horizontal="center" wrapText="1"/>
      <protection hidden="1"/>
    </xf>
    <xf numFmtId="0" fontId="0" fillId="10" borderId="23" xfId="0" applyFill="1" applyBorder="1" applyAlignment="1" applyProtection="1">
      <alignment horizontal="center" wrapText="1"/>
      <protection hidden="1"/>
    </xf>
    <xf numFmtId="0" fontId="19" fillId="10" borderId="23" xfId="0" applyFont="1" applyFill="1" applyBorder="1" applyAlignment="1" applyProtection="1">
      <alignment horizontal="right" wrapText="1"/>
      <protection hidden="1"/>
    </xf>
    <xf numFmtId="0" fontId="20" fillId="10" borderId="23" xfId="0" applyFont="1" applyFill="1" applyBorder="1" applyAlignment="1" applyProtection="1">
      <alignment horizontal="right"/>
      <protection hidden="1"/>
    </xf>
    <xf numFmtId="0" fontId="19" fillId="10" borderId="31" xfId="0" applyFont="1" applyFill="1" applyBorder="1" applyAlignment="1" applyProtection="1">
      <alignment horizontal="right" wrapText="1"/>
      <protection hidden="1"/>
    </xf>
    <xf numFmtId="0" fontId="10" fillId="10" borderId="0" xfId="0" applyFont="1" applyFill="1" applyAlignment="1" applyProtection="1">
      <alignment horizontal="center" wrapText="1"/>
      <protection hidden="1"/>
    </xf>
    <xf numFmtId="0" fontId="7" fillId="10" borderId="0" xfId="0" applyFont="1" applyFill="1" applyAlignment="1" applyProtection="1">
      <alignment horizontal="center" wrapText="1"/>
      <protection hidden="1"/>
    </xf>
    <xf numFmtId="0" fontId="6" fillId="10" borderId="0" xfId="0" applyFont="1" applyFill="1" applyAlignment="1" applyProtection="1">
      <alignment horizontal="right" wrapText="1"/>
      <protection hidden="1"/>
    </xf>
    <xf numFmtId="0" fontId="0" fillId="10" borderId="0" xfId="0" applyFill="1" applyProtection="1">
      <protection hidden="1"/>
    </xf>
    <xf numFmtId="0" fontId="8" fillId="10" borderId="0" xfId="0" applyFont="1" applyFill="1" applyAlignment="1" applyProtection="1">
      <alignment horizontal="left" wrapText="1"/>
      <protection hidden="1"/>
    </xf>
    <xf numFmtId="2" fontId="2" fillId="10" borderId="0" xfId="0" applyNumberFormat="1" applyFont="1" applyFill="1" applyAlignment="1" applyProtection="1">
      <alignment horizontal="center" wrapText="1"/>
      <protection hidden="1"/>
    </xf>
    <xf numFmtId="0" fontId="2" fillId="10" borderId="0" xfId="0" applyFont="1" applyFill="1" applyAlignment="1" applyProtection="1">
      <alignment horizontal="center"/>
      <protection hidden="1"/>
    </xf>
    <xf numFmtId="0" fontId="2" fillId="10" borderId="22" xfId="0" applyFont="1" applyFill="1" applyBorder="1" applyProtection="1">
      <protection hidden="1"/>
    </xf>
    <xf numFmtId="2" fontId="7" fillId="10" borderId="0" xfId="0" applyNumberFormat="1" applyFont="1" applyFill="1" applyAlignment="1" applyProtection="1">
      <alignment horizontal="center" wrapText="1"/>
      <protection hidden="1"/>
    </xf>
    <xf numFmtId="0" fontId="0" fillId="10" borderId="0" xfId="0" applyFill="1" applyAlignment="1" applyProtection="1">
      <alignment horizontal="center"/>
      <protection hidden="1"/>
    </xf>
    <xf numFmtId="0" fontId="10" fillId="10" borderId="32" xfId="0" applyFont="1" applyFill="1" applyBorder="1" applyAlignment="1" applyProtection="1">
      <alignment horizontal="center" wrapText="1"/>
      <protection hidden="1"/>
    </xf>
    <xf numFmtId="0" fontId="7" fillId="10" borderId="32" xfId="0" applyFont="1" applyFill="1" applyBorder="1" applyAlignment="1" applyProtection="1">
      <alignment horizontal="center" wrapText="1"/>
      <protection hidden="1"/>
    </xf>
    <xf numFmtId="0" fontId="6" fillId="10" borderId="32" xfId="0" applyFont="1" applyFill="1" applyBorder="1" applyAlignment="1" applyProtection="1">
      <alignment horizontal="right" wrapText="1"/>
      <protection hidden="1"/>
    </xf>
    <xf numFmtId="0" fontId="8" fillId="10" borderId="32" xfId="0" applyFont="1" applyFill="1" applyBorder="1" applyAlignment="1" applyProtection="1">
      <alignment horizontal="left" wrapText="1"/>
      <protection hidden="1"/>
    </xf>
    <xf numFmtId="2" fontId="7" fillId="10" borderId="32" xfId="0" applyNumberFormat="1" applyFont="1" applyFill="1" applyBorder="1" applyAlignment="1" applyProtection="1">
      <alignment horizontal="center" wrapText="1"/>
      <protection hidden="1"/>
    </xf>
    <xf numFmtId="0" fontId="0" fillId="10" borderId="32" xfId="0" applyFill="1" applyBorder="1" applyAlignment="1" applyProtection="1">
      <alignment horizontal="center"/>
      <protection hidden="1"/>
    </xf>
    <xf numFmtId="2" fontId="2" fillId="10" borderId="32" xfId="0" applyNumberFormat="1" applyFont="1" applyFill="1" applyBorder="1" applyAlignment="1" applyProtection="1">
      <alignment horizontal="center" wrapText="1"/>
      <protection hidden="1"/>
    </xf>
    <xf numFmtId="0" fontId="2" fillId="10" borderId="32" xfId="0" applyFont="1" applyFill="1" applyBorder="1" applyAlignment="1" applyProtection="1">
      <alignment horizontal="center"/>
      <protection hidden="1"/>
    </xf>
    <xf numFmtId="0" fontId="2" fillId="10" borderId="33" xfId="0" applyFont="1" applyFill="1" applyBorder="1" applyProtection="1">
      <protection hidden="1"/>
    </xf>
    <xf numFmtId="0" fontId="5" fillId="12" borderId="0" xfId="0" applyFont="1" applyFill="1" applyProtection="1">
      <protection hidden="1"/>
    </xf>
    <xf numFmtId="0" fontId="24" fillId="12" borderId="26" xfId="0" applyFont="1" applyFill="1" applyBorder="1" applyProtection="1">
      <protection hidden="1"/>
    </xf>
    <xf numFmtId="0" fontId="1" fillId="12" borderId="0" xfId="0" applyFont="1" applyFill="1" applyAlignment="1" applyProtection="1">
      <alignment horizontal="left"/>
      <protection hidden="1"/>
    </xf>
    <xf numFmtId="0" fontId="1" fillId="12" borderId="43" xfId="0" applyFont="1" applyFill="1" applyBorder="1" applyAlignment="1" applyProtection="1">
      <alignment horizontal="left"/>
      <protection hidden="1"/>
    </xf>
    <xf numFmtId="0" fontId="17" fillId="14" borderId="0" xfId="0" applyFont="1" applyFill="1" applyAlignment="1" applyProtection="1">
      <alignment horizontal="left"/>
      <protection hidden="1"/>
    </xf>
    <xf numFmtId="0" fontId="1" fillId="14" borderId="0" xfId="0" applyFont="1" applyFill="1" applyProtection="1">
      <protection hidden="1"/>
    </xf>
    <xf numFmtId="0" fontId="22" fillId="14" borderId="0" xfId="0" applyFont="1" applyFill="1" applyAlignment="1" applyProtection="1">
      <alignment horizontal="center" wrapText="1"/>
      <protection hidden="1"/>
    </xf>
    <xf numFmtId="0" fontId="22" fillId="14" borderId="0" xfId="0" applyFont="1" applyFill="1" applyAlignment="1" applyProtection="1">
      <alignment wrapText="1"/>
      <protection hidden="1"/>
    </xf>
    <xf numFmtId="0" fontId="7" fillId="14" borderId="0" xfId="0" applyFont="1" applyFill="1" applyAlignment="1" applyProtection="1">
      <alignment horizontal="center" wrapText="1"/>
      <protection hidden="1"/>
    </xf>
    <xf numFmtId="0" fontId="6" fillId="14" borderId="0" xfId="0" applyFont="1" applyFill="1" applyAlignment="1" applyProtection="1">
      <alignment horizontal="right" wrapText="1"/>
      <protection hidden="1"/>
    </xf>
    <xf numFmtId="0" fontId="21" fillId="14" borderId="0" xfId="0" applyFont="1" applyFill="1" applyAlignment="1" applyProtection="1">
      <alignment horizontal="right" wrapText="1"/>
      <protection hidden="1"/>
    </xf>
    <xf numFmtId="0" fontId="62" fillId="14" borderId="0" xfId="0" applyFont="1" applyFill="1" applyAlignment="1" applyProtection="1">
      <alignment horizontal="right" wrapText="1"/>
      <protection hidden="1"/>
    </xf>
    <xf numFmtId="0" fontId="65" fillId="14" borderId="0" xfId="0" applyFont="1" applyFill="1" applyAlignment="1" applyProtection="1">
      <alignment horizontal="left" wrapText="1"/>
      <protection hidden="1"/>
    </xf>
    <xf numFmtId="0" fontId="0" fillId="14" borderId="0" xfId="0" applyFill="1" applyProtection="1">
      <protection hidden="1"/>
    </xf>
    <xf numFmtId="0" fontId="0" fillId="14" borderId="0" xfId="0" applyFill="1" applyAlignment="1" applyProtection="1">
      <alignment horizontal="left" wrapText="1"/>
      <protection hidden="1"/>
    </xf>
    <xf numFmtId="0" fontId="71" fillId="14" borderId="0" xfId="0" applyFont="1" applyFill="1" applyAlignment="1" applyProtection="1">
      <alignment horizontal="right" vertical="center" wrapText="1"/>
      <protection hidden="1"/>
    </xf>
    <xf numFmtId="0" fontId="71" fillId="14" borderId="7" xfId="0" applyFont="1" applyFill="1" applyBorder="1" applyAlignment="1" applyProtection="1">
      <alignment horizontal="center"/>
      <protection hidden="1"/>
    </xf>
    <xf numFmtId="0" fontId="64" fillId="14" borderId="6" xfId="0" applyFont="1" applyFill="1" applyBorder="1" applyAlignment="1" applyProtection="1">
      <alignment horizontal="left" wrapText="1"/>
      <protection hidden="1"/>
    </xf>
    <xf numFmtId="0" fontId="67" fillId="14" borderId="0" xfId="0" applyFont="1" applyFill="1" applyAlignment="1" applyProtection="1">
      <alignment horizontal="center"/>
      <protection hidden="1"/>
    </xf>
    <xf numFmtId="0" fontId="17" fillId="14" borderId="0" xfId="0" applyFont="1" applyFill="1" applyAlignment="1" applyProtection="1">
      <alignment horizontal="center"/>
      <protection hidden="1"/>
    </xf>
    <xf numFmtId="0" fontId="64" fillId="14" borderId="0" xfId="0" applyFont="1" applyFill="1" applyAlignment="1" applyProtection="1">
      <alignment horizontal="left"/>
      <protection hidden="1"/>
    </xf>
    <xf numFmtId="0" fontId="17" fillId="14" borderId="0" xfId="0" applyFont="1" applyFill="1" applyAlignment="1" applyProtection="1">
      <alignment horizontal="center" vertical="center" wrapText="1"/>
      <protection hidden="1"/>
    </xf>
    <xf numFmtId="0" fontId="64" fillId="14" borderId="0" xfId="0" applyFont="1" applyFill="1" applyAlignment="1" applyProtection="1">
      <alignment horizontal="right"/>
      <protection hidden="1"/>
    </xf>
    <xf numFmtId="0" fontId="0" fillId="14" borderId="69" xfId="0" applyFill="1" applyBorder="1" applyProtection="1">
      <protection hidden="1"/>
    </xf>
    <xf numFmtId="1" fontId="10" fillId="14" borderId="69" xfId="0" applyNumberFormat="1" applyFont="1" applyFill="1" applyBorder="1" applyAlignment="1" applyProtection="1">
      <alignment wrapText="1"/>
      <protection hidden="1"/>
    </xf>
    <xf numFmtId="0" fontId="10" fillId="14" borderId="72" xfId="0" applyFont="1" applyFill="1" applyBorder="1" applyAlignment="1" applyProtection="1">
      <alignment horizontal="center" wrapText="1"/>
      <protection hidden="1"/>
    </xf>
    <xf numFmtId="2" fontId="7" fillId="14" borderId="73" xfId="0" applyNumberFormat="1" applyFont="1" applyFill="1" applyBorder="1" applyAlignment="1" applyProtection="1">
      <alignment horizontal="center" wrapText="1"/>
      <protection hidden="1"/>
    </xf>
    <xf numFmtId="0" fontId="21" fillId="9" borderId="22" xfId="0" applyFont="1" applyFill="1" applyBorder="1" applyAlignment="1" applyProtection="1">
      <alignment horizontal="center"/>
      <protection hidden="1"/>
    </xf>
    <xf numFmtId="0" fontId="24" fillId="9" borderId="22" xfId="0" applyFont="1" applyFill="1" applyBorder="1" applyProtection="1">
      <protection hidden="1"/>
    </xf>
    <xf numFmtId="0" fontId="7" fillId="14" borderId="45" xfId="0" applyFont="1" applyFill="1" applyBorder="1" applyAlignment="1" applyProtection="1">
      <alignment horizontal="left" wrapText="1"/>
      <protection hidden="1"/>
    </xf>
    <xf numFmtId="0" fontId="0" fillId="14" borderId="45" xfId="0" applyFill="1" applyBorder="1" applyProtection="1">
      <protection hidden="1"/>
    </xf>
    <xf numFmtId="0" fontId="0" fillId="14" borderId="43" xfId="0" applyFill="1" applyBorder="1" applyProtection="1">
      <protection hidden="1"/>
    </xf>
    <xf numFmtId="0" fontId="30" fillId="14" borderId="43" xfId="0" applyFont="1" applyFill="1" applyBorder="1" applyAlignment="1" applyProtection="1">
      <alignment horizontal="center"/>
      <protection hidden="1"/>
    </xf>
    <xf numFmtId="0" fontId="17" fillId="14" borderId="43" xfId="0" applyFont="1" applyFill="1" applyBorder="1" applyAlignment="1" applyProtection="1">
      <alignment horizontal="center"/>
      <protection hidden="1"/>
    </xf>
    <xf numFmtId="0" fontId="64" fillId="14" borderId="43" xfId="0" applyFont="1" applyFill="1" applyBorder="1" applyAlignment="1" applyProtection="1">
      <alignment horizontal="center"/>
      <protection hidden="1"/>
    </xf>
    <xf numFmtId="0" fontId="64" fillId="14" borderId="43" xfId="0" applyFont="1" applyFill="1" applyBorder="1" applyAlignment="1" applyProtection="1">
      <alignment horizontal="center"/>
      <protection locked="0"/>
    </xf>
    <xf numFmtId="0" fontId="0" fillId="14" borderId="46" xfId="0" applyFill="1" applyBorder="1" applyProtection="1">
      <protection hidden="1"/>
    </xf>
    <xf numFmtId="0" fontId="2" fillId="9" borderId="0" xfId="0" applyFont="1" applyFill="1" applyAlignment="1" applyProtection="1">
      <alignment horizontal="center" textRotation="90" wrapText="1"/>
      <protection hidden="1"/>
    </xf>
    <xf numFmtId="0" fontId="2" fillId="9" borderId="0" xfId="0" applyFont="1" applyFill="1" applyAlignment="1" applyProtection="1">
      <alignment horizontal="center"/>
      <protection hidden="1"/>
    </xf>
    <xf numFmtId="165" fontId="2" fillId="9" borderId="0" xfId="0" applyNumberFormat="1" applyFont="1" applyFill="1" applyAlignment="1" applyProtection="1">
      <alignment horizontal="center"/>
      <protection hidden="1"/>
    </xf>
    <xf numFmtId="0" fontId="69" fillId="14" borderId="72" xfId="0" applyFont="1" applyFill="1" applyBorder="1" applyAlignment="1" applyProtection="1">
      <alignment horizontal="center" vertical="center" wrapText="1"/>
      <protection hidden="1"/>
    </xf>
    <xf numFmtId="0" fontId="71" fillId="14" borderId="72" xfId="0" applyFont="1" applyFill="1" applyBorder="1" applyAlignment="1" applyProtection="1">
      <alignment horizontal="right" vertical="center"/>
      <protection hidden="1"/>
    </xf>
    <xf numFmtId="0" fontId="68" fillId="14" borderId="72" xfId="0" applyFont="1" applyFill="1" applyBorder="1" applyAlignment="1" applyProtection="1">
      <alignment horizontal="right" vertical="center" wrapText="1"/>
      <protection hidden="1"/>
    </xf>
    <xf numFmtId="0" fontId="68" fillId="14" borderId="72" xfId="0" applyFont="1" applyFill="1" applyBorder="1" applyAlignment="1" applyProtection="1">
      <alignment horizontal="right" vertical="center"/>
      <protection hidden="1"/>
    </xf>
    <xf numFmtId="0" fontId="71" fillId="14" borderId="72" xfId="0" applyFont="1" applyFill="1" applyBorder="1" applyAlignment="1" applyProtection="1">
      <alignment horizontal="right" vertical="center" wrapText="1"/>
      <protection hidden="1"/>
    </xf>
    <xf numFmtId="0" fontId="70" fillId="14" borderId="72" xfId="0" applyFont="1" applyFill="1" applyBorder="1" applyAlignment="1" applyProtection="1">
      <alignment horizontal="center"/>
      <protection hidden="1"/>
    </xf>
    <xf numFmtId="0" fontId="0" fillId="14" borderId="76" xfId="0" applyFill="1" applyBorder="1" applyProtection="1">
      <protection hidden="1"/>
    </xf>
    <xf numFmtId="0" fontId="0" fillId="14" borderId="45" xfId="0" applyFill="1" applyBorder="1" applyAlignment="1" applyProtection="1">
      <alignment horizontal="left" wrapText="1"/>
      <protection hidden="1"/>
    </xf>
    <xf numFmtId="0" fontId="0" fillId="14" borderId="77" xfId="0" applyFill="1" applyBorder="1" applyProtection="1">
      <protection hidden="1"/>
    </xf>
    <xf numFmtId="0" fontId="17" fillId="14" borderId="43" xfId="0" applyFont="1" applyFill="1" applyBorder="1" applyAlignment="1" applyProtection="1">
      <alignment horizontal="left" textRotation="90" wrapText="1"/>
      <protection hidden="1"/>
    </xf>
    <xf numFmtId="0" fontId="21" fillId="14" borderId="43" xfId="0" applyFont="1" applyFill="1" applyBorder="1" applyAlignment="1" applyProtection="1">
      <alignment horizontal="left" textRotation="90" wrapText="1"/>
      <protection hidden="1"/>
    </xf>
    <xf numFmtId="0" fontId="32" fillId="14" borderId="43" xfId="0" applyFont="1" applyFill="1" applyBorder="1" applyAlignment="1" applyProtection="1">
      <alignment horizontal="left" wrapText="1"/>
      <protection hidden="1"/>
    </xf>
    <xf numFmtId="0" fontId="61" fillId="14" borderId="43" xfId="0" applyFont="1" applyFill="1" applyBorder="1" applyProtection="1">
      <protection hidden="1"/>
    </xf>
    <xf numFmtId="0" fontId="0" fillId="15" borderId="5" xfId="0" applyFill="1" applyBorder="1" applyProtection="1">
      <protection hidden="1"/>
    </xf>
    <xf numFmtId="0" fontId="0" fillId="15" borderId="0" xfId="0" applyFill="1" applyProtection="1">
      <protection hidden="1"/>
    </xf>
    <xf numFmtId="0" fontId="76" fillId="15" borderId="0" xfId="0" applyFont="1" applyFill="1" applyAlignment="1" applyProtection="1">
      <alignment horizontal="right"/>
      <protection hidden="1"/>
    </xf>
    <xf numFmtId="0" fontId="76" fillId="15" borderId="4" xfId="0" applyFont="1" applyFill="1" applyBorder="1" applyProtection="1">
      <protection hidden="1"/>
    </xf>
    <xf numFmtId="0" fontId="23" fillId="15" borderId="4" xfId="0" applyFont="1" applyFill="1" applyBorder="1" applyProtection="1">
      <protection hidden="1"/>
    </xf>
    <xf numFmtId="0" fontId="0" fillId="15" borderId="4" xfId="0" applyFill="1" applyBorder="1" applyProtection="1">
      <protection hidden="1"/>
    </xf>
    <xf numFmtId="0" fontId="0" fillId="15" borderId="70" xfId="0" applyFill="1" applyBorder="1" applyProtection="1">
      <protection hidden="1"/>
    </xf>
    <xf numFmtId="0" fontId="15" fillId="15" borderId="1" xfId="0" applyFont="1" applyFill="1" applyBorder="1" applyAlignment="1" applyProtection="1">
      <alignment horizontal="left" wrapText="1"/>
      <protection hidden="1"/>
    </xf>
    <xf numFmtId="0" fontId="7" fillId="15" borderId="1" xfId="0" applyFont="1" applyFill="1" applyBorder="1" applyAlignment="1" applyProtection="1">
      <alignment horizontal="center" wrapText="1"/>
      <protection hidden="1"/>
    </xf>
    <xf numFmtId="0" fontId="7" fillId="15" borderId="0" xfId="0" applyFont="1" applyFill="1" applyAlignment="1" applyProtection="1">
      <alignment horizontal="center" wrapText="1"/>
      <protection hidden="1"/>
    </xf>
    <xf numFmtId="0" fontId="16" fillId="15" borderId="0" xfId="0" applyFont="1" applyFill="1" applyAlignment="1" applyProtection="1">
      <alignment horizontal="center" wrapText="1"/>
      <protection hidden="1"/>
    </xf>
    <xf numFmtId="0" fontId="76" fillId="15" borderId="0" xfId="0" applyFont="1" applyFill="1" applyAlignment="1" applyProtection="1">
      <alignment horizontal="center" vertical="top" wrapText="1"/>
      <protection hidden="1"/>
    </xf>
    <xf numFmtId="165" fontId="76" fillId="15" borderId="0" xfId="0" applyNumberFormat="1" applyFont="1" applyFill="1" applyAlignment="1" applyProtection="1">
      <alignment horizontal="center" vertical="top" wrapText="1"/>
      <protection hidden="1"/>
    </xf>
    <xf numFmtId="0" fontId="43" fillId="15" borderId="0" xfId="0" applyFont="1" applyFill="1" applyProtection="1">
      <protection hidden="1"/>
    </xf>
    <xf numFmtId="0" fontId="31" fillId="15" borderId="0" xfId="0" applyFont="1" applyFill="1" applyAlignment="1" applyProtection="1">
      <alignment horizontal="center" wrapText="1"/>
      <protection hidden="1"/>
    </xf>
    <xf numFmtId="0" fontId="0" fillId="15" borderId="1" xfId="0" applyFill="1" applyBorder="1" applyProtection="1">
      <protection hidden="1"/>
    </xf>
    <xf numFmtId="0" fontId="0" fillId="15" borderId="0" xfId="0" applyFill="1" applyAlignment="1" applyProtection="1">
      <alignment horizontal="left" vertical="center"/>
      <protection hidden="1"/>
    </xf>
    <xf numFmtId="0" fontId="13" fillId="15" borderId="0" xfId="0" applyFont="1" applyFill="1" applyProtection="1">
      <protection hidden="1"/>
    </xf>
    <xf numFmtId="0" fontId="23" fillId="15" borderId="1" xfId="0" applyFont="1" applyFill="1" applyBorder="1" applyAlignment="1" applyProtection="1">
      <alignment horizontal="left" vertical="top"/>
      <protection hidden="1"/>
    </xf>
    <xf numFmtId="0" fontId="76" fillId="15" borderId="0" xfId="0" applyFont="1" applyFill="1" applyAlignment="1" applyProtection="1">
      <alignment vertical="top"/>
      <protection hidden="1"/>
    </xf>
    <xf numFmtId="165" fontId="76" fillId="15" borderId="0" xfId="0" applyNumberFormat="1" applyFont="1" applyFill="1" applyAlignment="1" applyProtection="1">
      <alignment horizontal="left" wrapText="1"/>
      <protection hidden="1"/>
    </xf>
    <xf numFmtId="0" fontId="79" fillId="5" borderId="4" xfId="0" applyFont="1" applyFill="1" applyBorder="1" applyProtection="1">
      <protection hidden="1"/>
    </xf>
    <xf numFmtId="0" fontId="76" fillId="5" borderId="4" xfId="0" applyFont="1" applyFill="1" applyBorder="1" applyProtection="1">
      <protection hidden="1"/>
    </xf>
    <xf numFmtId="0" fontId="76" fillId="5" borderId="0" xfId="0" applyFont="1" applyFill="1" applyProtection="1">
      <protection hidden="1"/>
    </xf>
    <xf numFmtId="0" fontId="76" fillId="5" borderId="0" xfId="0" applyFont="1" applyFill="1" applyAlignment="1" applyProtection="1">
      <alignment horizontal="center"/>
      <protection hidden="1"/>
    </xf>
    <xf numFmtId="0" fontId="79" fillId="5" borderId="0" xfId="0" applyFont="1" applyFill="1" applyAlignment="1" applyProtection="1">
      <alignment horizontal="center"/>
      <protection hidden="1"/>
    </xf>
    <xf numFmtId="0" fontId="79" fillId="5" borderId="0" xfId="0" applyFont="1" applyFill="1" applyProtection="1">
      <protection hidden="1"/>
    </xf>
    <xf numFmtId="0" fontId="76" fillId="5" borderId="0" xfId="0" applyFont="1" applyFill="1" applyAlignment="1" applyProtection="1">
      <alignment horizontal="left"/>
      <protection hidden="1"/>
    </xf>
    <xf numFmtId="0" fontId="80" fillId="5" borderId="0" xfId="0" applyFont="1" applyFill="1" applyAlignment="1" applyProtection="1">
      <alignment horizontal="left"/>
      <protection hidden="1"/>
    </xf>
    <xf numFmtId="0" fontId="80" fillId="5" borderId="0" xfId="0" applyFont="1" applyFill="1" applyProtection="1">
      <protection hidden="1"/>
    </xf>
    <xf numFmtId="0" fontId="79" fillId="5" borderId="0" xfId="0" applyFont="1" applyFill="1" applyAlignment="1" applyProtection="1">
      <alignment horizontal="center" textRotation="90"/>
      <protection hidden="1"/>
    </xf>
    <xf numFmtId="0" fontId="81" fillId="5" borderId="0" xfId="0" applyFont="1" applyFill="1" applyAlignment="1" applyProtection="1">
      <alignment horizontal="center"/>
      <protection hidden="1"/>
    </xf>
    <xf numFmtId="0" fontId="79" fillId="16" borderId="0" xfId="0" applyFont="1" applyFill="1" applyAlignment="1" applyProtection="1">
      <alignment horizontal="center"/>
      <protection hidden="1"/>
    </xf>
    <xf numFmtId="0" fontId="79" fillId="16" borderId="0" xfId="0" applyFont="1" applyFill="1" applyAlignment="1" applyProtection="1">
      <alignment horizontal="center" textRotation="90" wrapText="1"/>
      <protection hidden="1"/>
    </xf>
    <xf numFmtId="0" fontId="79" fillId="16" borderId="0" xfId="0" applyFont="1" applyFill="1" applyAlignment="1" applyProtection="1">
      <alignment horizontal="center" wrapText="1"/>
      <protection hidden="1"/>
    </xf>
    <xf numFmtId="0" fontId="81" fillId="16" borderId="0" xfId="0" applyFont="1" applyFill="1" applyAlignment="1" applyProtection="1">
      <alignment horizontal="center"/>
      <protection hidden="1"/>
    </xf>
    <xf numFmtId="0" fontId="52" fillId="16" borderId="4" xfId="0" applyFont="1" applyFill="1" applyBorder="1" applyProtection="1">
      <protection hidden="1"/>
    </xf>
    <xf numFmtId="0" fontId="52" fillId="16" borderId="0" xfId="0" applyFont="1" applyFill="1" applyProtection="1">
      <protection hidden="1"/>
    </xf>
    <xf numFmtId="0" fontId="53" fillId="16" borderId="0" xfId="0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center"/>
      <protection hidden="1"/>
    </xf>
    <xf numFmtId="0" fontId="49" fillId="16" borderId="0" xfId="0" applyFont="1" applyFill="1" applyAlignment="1" applyProtection="1">
      <alignment horizontal="center"/>
      <protection hidden="1"/>
    </xf>
    <xf numFmtId="2" fontId="49" fillId="16" borderId="0" xfId="0" applyNumberFormat="1" applyFont="1" applyFill="1" applyAlignment="1" applyProtection="1">
      <alignment horizontal="center"/>
      <protection hidden="1"/>
    </xf>
    <xf numFmtId="1" fontId="52" fillId="16" borderId="0" xfId="0" applyNumberFormat="1" applyFont="1" applyFill="1" applyAlignment="1" applyProtection="1">
      <alignment horizontal="center"/>
      <protection hidden="1"/>
    </xf>
    <xf numFmtId="2" fontId="52" fillId="16" borderId="0" xfId="0" applyNumberFormat="1" applyFont="1" applyFill="1" applyAlignment="1" applyProtection="1">
      <alignment horizontal="center"/>
      <protection hidden="1"/>
    </xf>
    <xf numFmtId="165" fontId="52" fillId="16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left"/>
      <protection hidden="1"/>
    </xf>
    <xf numFmtId="2" fontId="53" fillId="16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center" vertical="center"/>
      <protection hidden="1"/>
    </xf>
    <xf numFmtId="2" fontId="53" fillId="16" borderId="0" xfId="0" applyNumberFormat="1" applyFont="1" applyFill="1" applyAlignment="1" applyProtection="1">
      <alignment horizontal="center" wrapText="1"/>
      <protection hidden="1"/>
    </xf>
    <xf numFmtId="165" fontId="53" fillId="16" borderId="0" xfId="0" applyNumberFormat="1" applyFont="1" applyFill="1" applyAlignment="1" applyProtection="1">
      <alignment horizontal="center"/>
      <protection hidden="1"/>
    </xf>
    <xf numFmtId="0" fontId="53" fillId="16" borderId="0" xfId="0" applyFont="1" applyFill="1" applyAlignment="1" applyProtection="1">
      <alignment horizontal="left"/>
      <protection hidden="1"/>
    </xf>
    <xf numFmtId="0" fontId="52" fillId="16" borderId="0" xfId="0" applyFont="1" applyFill="1" applyAlignment="1" applyProtection="1">
      <alignment horizontal="center"/>
      <protection locked="0"/>
    </xf>
    <xf numFmtId="0" fontId="49" fillId="16" borderId="0" xfId="0" applyFont="1" applyFill="1" applyAlignment="1" applyProtection="1">
      <alignment horizontal="center" textRotation="90" wrapText="1"/>
      <protection hidden="1"/>
    </xf>
    <xf numFmtId="0" fontId="53" fillId="16" borderId="0" xfId="0" applyFont="1" applyFill="1" applyProtection="1">
      <protection hidden="1"/>
    </xf>
    <xf numFmtId="0" fontId="52" fillId="16" borderId="0" xfId="0" applyFont="1" applyFill="1" applyAlignment="1" applyProtection="1">
      <alignment horizontal="center" textRotation="90"/>
      <protection hidden="1"/>
    </xf>
    <xf numFmtId="0" fontId="49" fillId="16" borderId="0" xfId="0" applyFont="1" applyFill="1" applyAlignment="1" applyProtection="1">
      <alignment horizontal="center" wrapText="1"/>
      <protection hidden="1"/>
    </xf>
    <xf numFmtId="0" fontId="57" fillId="16" borderId="0" xfId="0" applyFont="1" applyFill="1" applyAlignment="1" applyProtection="1">
      <alignment horizontal="center"/>
      <protection hidden="1"/>
    </xf>
    <xf numFmtId="2" fontId="57" fillId="16" borderId="0" xfId="0" applyNumberFormat="1" applyFont="1" applyFill="1" applyAlignment="1" applyProtection="1">
      <alignment horizontal="center"/>
      <protection hidden="1"/>
    </xf>
    <xf numFmtId="0" fontId="53" fillId="16" borderId="0" xfId="0" applyFont="1" applyFill="1" applyAlignment="1" applyProtection="1">
      <alignment horizontal="right"/>
      <protection hidden="1"/>
    </xf>
    <xf numFmtId="1" fontId="53" fillId="16" borderId="0" xfId="0" applyNumberFormat="1" applyFont="1" applyFill="1" applyAlignment="1" applyProtection="1">
      <alignment horizontal="center"/>
      <protection hidden="1"/>
    </xf>
    <xf numFmtId="0" fontId="54" fillId="16" borderId="0" xfId="0" applyFont="1" applyFill="1" applyProtection="1">
      <protection hidden="1"/>
    </xf>
    <xf numFmtId="166" fontId="52" fillId="16" borderId="0" xfId="0" applyNumberFormat="1" applyFont="1" applyFill="1" applyAlignment="1" applyProtection="1">
      <alignment horizontal="center"/>
      <protection hidden="1"/>
    </xf>
    <xf numFmtId="164" fontId="52" fillId="16" borderId="0" xfId="0" applyNumberFormat="1" applyFont="1" applyFill="1" applyAlignment="1" applyProtection="1">
      <alignment horizontal="center"/>
      <protection hidden="1"/>
    </xf>
    <xf numFmtId="168" fontId="52" fillId="16" borderId="0" xfId="0" applyNumberFormat="1" applyFont="1" applyFill="1" applyAlignment="1" applyProtection="1">
      <alignment horizontal="center"/>
      <protection hidden="1"/>
    </xf>
    <xf numFmtId="0" fontId="52" fillId="16" borderId="0" xfId="0" quotePrefix="1" applyFont="1" applyFill="1" applyProtection="1">
      <protection hidden="1"/>
    </xf>
    <xf numFmtId="2" fontId="52" fillId="16" borderId="0" xfId="0" applyNumberFormat="1" applyFont="1" applyFill="1" applyProtection="1">
      <protection hidden="1"/>
    </xf>
    <xf numFmtId="165" fontId="49" fillId="16" borderId="0" xfId="0" applyNumberFormat="1" applyFont="1" applyFill="1" applyAlignment="1" applyProtection="1">
      <alignment horizontal="center"/>
      <protection hidden="1"/>
    </xf>
    <xf numFmtId="0" fontId="49" fillId="16" borderId="0" xfId="0" applyFont="1" applyFill="1" applyProtection="1">
      <protection hidden="1"/>
    </xf>
    <xf numFmtId="0" fontId="5" fillId="5" borderId="4" xfId="0" applyFont="1" applyFill="1" applyBorder="1" applyProtection="1">
      <protection hidden="1"/>
    </xf>
    <xf numFmtId="0" fontId="5" fillId="5" borderId="0" xfId="0" applyFont="1" applyFill="1" applyProtection="1">
      <protection hidden="1"/>
    </xf>
    <xf numFmtId="0" fontId="5" fillId="5" borderId="0" xfId="0" applyFont="1" applyFill="1" applyAlignment="1" applyProtection="1">
      <alignment horizontal="left"/>
      <protection hidden="1"/>
    </xf>
    <xf numFmtId="0" fontId="25" fillId="5" borderId="0" xfId="0" applyFont="1" applyFill="1" applyAlignment="1" applyProtection="1">
      <alignment horizontal="left"/>
      <protection hidden="1"/>
    </xf>
    <xf numFmtId="0" fontId="25" fillId="5" borderId="0" xfId="0" applyFont="1" applyFill="1" applyProtection="1">
      <protection hidden="1"/>
    </xf>
    <xf numFmtId="0" fontId="5" fillId="5" borderId="0" xfId="0" applyFont="1" applyFill="1" applyAlignment="1" applyProtection="1">
      <alignment horizontal="center"/>
      <protection hidden="1"/>
    </xf>
    <xf numFmtId="0" fontId="71" fillId="5" borderId="4" xfId="0" applyFont="1" applyFill="1" applyBorder="1" applyProtection="1">
      <protection hidden="1"/>
    </xf>
    <xf numFmtId="0" fontId="71" fillId="5" borderId="0" xfId="0" applyFont="1" applyFill="1" applyProtection="1">
      <protection hidden="1"/>
    </xf>
    <xf numFmtId="0" fontId="71" fillId="5" borderId="0" xfId="0" applyFont="1" applyFill="1" applyAlignment="1" applyProtection="1">
      <alignment horizontal="left"/>
      <protection hidden="1"/>
    </xf>
    <xf numFmtId="0" fontId="82" fillId="5" borderId="0" xfId="0" applyFont="1" applyFill="1" applyAlignment="1" applyProtection="1">
      <alignment horizontal="left"/>
      <protection hidden="1"/>
    </xf>
    <xf numFmtId="0" fontId="82" fillId="5" borderId="0" xfId="0" applyFont="1" applyFill="1" applyProtection="1">
      <protection hidden="1"/>
    </xf>
    <xf numFmtId="0" fontId="71" fillId="5" borderId="0" xfId="0" applyFont="1" applyFill="1" applyAlignment="1" applyProtection="1">
      <alignment horizontal="center"/>
      <protection hidden="1"/>
    </xf>
    <xf numFmtId="0" fontId="0" fillId="10" borderId="8" xfId="0" applyFill="1" applyBorder="1" applyProtection="1">
      <protection hidden="1"/>
    </xf>
    <xf numFmtId="0" fontId="11" fillId="10" borderId="8" xfId="0" applyFont="1" applyFill="1" applyBorder="1" applyAlignment="1" applyProtection="1">
      <alignment horizontal="right" wrapText="1"/>
      <protection hidden="1"/>
    </xf>
    <xf numFmtId="0" fontId="7" fillId="10" borderId="8" xfId="0" applyFont="1" applyFill="1" applyBorder="1" applyAlignment="1" applyProtection="1">
      <alignment horizontal="center" vertical="center"/>
      <protection hidden="1"/>
    </xf>
    <xf numFmtId="0" fontId="7" fillId="10" borderId="0" xfId="0" applyFont="1" applyFill="1" applyAlignment="1" applyProtection="1">
      <alignment horizontal="center" vertical="center"/>
      <protection hidden="1"/>
    </xf>
    <xf numFmtId="0" fontId="0" fillId="9" borderId="83" xfId="0" applyFill="1" applyBorder="1" applyProtection="1">
      <protection hidden="1"/>
    </xf>
    <xf numFmtId="0" fontId="52" fillId="16" borderId="0" xfId="0" applyFont="1" applyFill="1" applyAlignment="1" applyProtection="1">
      <alignment horizontal="right"/>
      <protection hidden="1"/>
    </xf>
    <xf numFmtId="0" fontId="52" fillId="16" borderId="0" xfId="0" applyFont="1" applyFill="1"/>
    <xf numFmtId="0" fontId="80" fillId="16" borderId="0" xfId="0" applyFont="1" applyFill="1" applyAlignment="1" applyProtection="1">
      <alignment horizontal="center"/>
      <protection hidden="1"/>
    </xf>
    <xf numFmtId="0" fontId="76" fillId="16" borderId="0" xfId="0" applyFont="1" applyFill="1" applyAlignment="1" applyProtection="1">
      <alignment horizontal="center"/>
      <protection hidden="1"/>
    </xf>
    <xf numFmtId="2" fontId="76" fillId="16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Alignment="1" applyProtection="1">
      <alignment horizontal="right"/>
      <protection hidden="1"/>
    </xf>
    <xf numFmtId="165" fontId="76" fillId="15" borderId="0" xfId="0" applyNumberFormat="1" applyFont="1" applyFill="1" applyAlignment="1" applyProtection="1">
      <alignment horizontal="center" vertical="top"/>
      <protection hidden="1"/>
    </xf>
    <xf numFmtId="0" fontId="74" fillId="15" borderId="0" xfId="0" applyFont="1" applyFill="1" applyAlignment="1">
      <alignment horizontal="center"/>
    </xf>
    <xf numFmtId="165" fontId="76" fillId="15" borderId="0" xfId="0" applyNumberFormat="1" applyFont="1" applyFill="1" applyAlignment="1" applyProtection="1">
      <alignment horizontal="center"/>
      <protection hidden="1"/>
    </xf>
    <xf numFmtId="0" fontId="52" fillId="16" borderId="0" xfId="0" applyFont="1" applyFill="1" applyProtection="1">
      <protection hidden="1"/>
    </xf>
    <xf numFmtId="0" fontId="65" fillId="14" borderId="0" xfId="0" applyFont="1" applyFill="1" applyAlignment="1" applyProtection="1">
      <alignment vertical="top"/>
      <protection hidden="1"/>
    </xf>
    <xf numFmtId="0" fontId="61" fillId="14" borderId="0" xfId="0" applyFont="1" applyFill="1" applyProtection="1">
      <protection hidden="1"/>
    </xf>
    <xf numFmtId="1" fontId="62" fillId="14" borderId="0" xfId="0" applyNumberFormat="1" applyFont="1" applyFill="1" applyAlignment="1" applyProtection="1">
      <alignment horizontal="right" vertical="top"/>
      <protection hidden="1"/>
    </xf>
    <xf numFmtId="0" fontId="66" fillId="14" borderId="0" xfId="0" applyFont="1" applyFill="1" applyProtection="1">
      <protection hidden="1"/>
    </xf>
    <xf numFmtId="165" fontId="17" fillId="8" borderId="13" xfId="0" applyNumberFormat="1" applyFont="1" applyFill="1" applyBorder="1" applyAlignment="1" applyProtection="1">
      <alignment horizontal="center" wrapText="1"/>
      <protection locked="0"/>
    </xf>
    <xf numFmtId="165" fontId="17" fillId="8" borderId="14" xfId="0" applyNumberFormat="1" applyFont="1" applyFill="1" applyBorder="1" applyAlignment="1" applyProtection="1">
      <alignment horizontal="center"/>
      <protection locked="0"/>
    </xf>
    <xf numFmtId="165" fontId="17" fillId="9" borderId="13" xfId="0" applyNumberFormat="1" applyFont="1" applyFill="1" applyBorder="1" applyAlignment="1" applyProtection="1">
      <alignment horizontal="center" wrapText="1"/>
      <protection locked="0"/>
    </xf>
    <xf numFmtId="165" fontId="17" fillId="9" borderId="18" xfId="0" applyNumberFormat="1" applyFont="1" applyFill="1" applyBorder="1" applyAlignment="1" applyProtection="1">
      <alignment horizontal="center" wrapText="1"/>
      <protection locked="0"/>
    </xf>
    <xf numFmtId="0" fontId="5" fillId="12" borderId="0" xfId="0" applyFont="1" applyFill="1" applyProtection="1">
      <protection hidden="1"/>
    </xf>
    <xf numFmtId="0" fontId="5" fillId="12" borderId="0" xfId="0" applyFont="1" applyFill="1"/>
    <xf numFmtId="0" fontId="14" fillId="10" borderId="66" xfId="0" applyFont="1" applyFill="1" applyBorder="1" applyAlignment="1" applyProtection="1">
      <alignment horizontal="center" wrapText="1"/>
      <protection locked="0"/>
    </xf>
    <xf numFmtId="0" fontId="0" fillId="10" borderId="67" xfId="0" applyFill="1" applyBorder="1" applyAlignment="1" applyProtection="1">
      <alignment horizontal="center" wrapText="1"/>
      <protection locked="0"/>
    </xf>
    <xf numFmtId="0" fontId="0" fillId="10" borderId="68" xfId="0" applyFill="1" applyBorder="1" applyAlignment="1" applyProtection="1">
      <alignment horizontal="center" wrapText="1"/>
      <protection locked="0"/>
    </xf>
    <xf numFmtId="0" fontId="53" fillId="16" borderId="0" xfId="0" applyFont="1" applyFill="1" applyAlignment="1" applyProtection="1">
      <alignment vertical="top" wrapText="1"/>
      <protection hidden="1"/>
    </xf>
    <xf numFmtId="0" fontId="1" fillId="10" borderId="67" xfId="0" applyFont="1" applyFill="1" applyBorder="1" applyAlignment="1" applyProtection="1">
      <alignment horizontal="center" wrapText="1"/>
      <protection locked="0"/>
    </xf>
    <xf numFmtId="0" fontId="1" fillId="10" borderId="68" xfId="0" applyFont="1" applyFill="1" applyBorder="1" applyAlignment="1" applyProtection="1">
      <alignment horizontal="center" wrapText="1"/>
      <protection locked="0"/>
    </xf>
    <xf numFmtId="0" fontId="14" fillId="12" borderId="0" xfId="0" applyFont="1" applyFill="1" applyProtection="1">
      <protection hidden="1"/>
    </xf>
    <xf numFmtId="0" fontId="0" fillId="12" borderId="0" xfId="0" applyFill="1"/>
    <xf numFmtId="0" fontId="5" fillId="12" borderId="52" xfId="0" applyFont="1" applyFill="1" applyBorder="1" applyAlignment="1" applyProtection="1">
      <alignment horizontal="right"/>
      <protection hidden="1"/>
    </xf>
    <xf numFmtId="0" fontId="5" fillId="12" borderId="53" xfId="0" applyFont="1" applyFill="1" applyBorder="1" applyAlignment="1">
      <alignment horizontal="right"/>
    </xf>
    <xf numFmtId="2" fontId="42" fillId="12" borderId="53" xfId="0" applyNumberFormat="1" applyFont="1" applyFill="1" applyBorder="1" applyAlignment="1" applyProtection="1">
      <alignment horizontal="center"/>
      <protection hidden="1"/>
    </xf>
    <xf numFmtId="2" fontId="42" fillId="12" borderId="53" xfId="0" applyNumberFormat="1" applyFont="1" applyFill="1" applyBorder="1" applyAlignment="1">
      <alignment horizontal="center"/>
    </xf>
    <xf numFmtId="0" fontId="42" fillId="12" borderId="53" xfId="0" applyFont="1" applyFill="1" applyBorder="1" applyAlignment="1" applyProtection="1">
      <alignment horizontal="left"/>
      <protection hidden="1"/>
    </xf>
    <xf numFmtId="0" fontId="42" fillId="12" borderId="54" xfId="0" applyFont="1" applyFill="1" applyBorder="1" applyAlignment="1">
      <alignment horizontal="left"/>
    </xf>
    <xf numFmtId="2" fontId="78" fillId="9" borderId="24" xfId="0" applyNumberFormat="1" applyFont="1" applyFill="1" applyBorder="1" applyAlignment="1" applyProtection="1">
      <alignment horizontal="center"/>
      <protection hidden="1"/>
    </xf>
    <xf numFmtId="0" fontId="84" fillId="14" borderId="72" xfId="2" applyFill="1" applyBorder="1" applyAlignment="1" applyProtection="1">
      <alignment horizontal="center"/>
      <protection hidden="1"/>
    </xf>
    <xf numFmtId="0" fontId="85" fillId="14" borderId="0" xfId="0" applyFont="1" applyFill="1" applyAlignment="1" applyProtection="1">
      <alignment horizontal="center"/>
      <protection hidden="1"/>
    </xf>
    <xf numFmtId="0" fontId="85" fillId="14" borderId="43" xfId="0" applyFont="1" applyFill="1" applyBorder="1" applyAlignment="1" applyProtection="1">
      <alignment horizontal="center"/>
      <protection hidden="1"/>
    </xf>
    <xf numFmtId="0" fontId="52" fillId="16" borderId="0" xfId="0" applyFont="1" applyFill="1" applyAlignment="1" applyProtection="1">
      <alignment wrapText="1"/>
      <protection hidden="1"/>
    </xf>
    <xf numFmtId="0" fontId="52" fillId="16" borderId="0" xfId="0" applyFont="1" applyFill="1" applyAlignment="1">
      <alignment wrapText="1"/>
    </xf>
    <xf numFmtId="0" fontId="52" fillId="16" borderId="0" xfId="0" applyFont="1" applyFill="1"/>
    <xf numFmtId="0" fontId="52" fillId="16" borderId="0" xfId="0" applyFont="1" applyFill="1" applyAlignment="1" applyProtection="1">
      <alignment textRotation="90" wrapText="1"/>
      <protection hidden="1"/>
    </xf>
    <xf numFmtId="0" fontId="52" fillId="16" borderId="0" xfId="0" applyFont="1" applyFill="1" applyAlignment="1">
      <alignment textRotation="90" wrapText="1"/>
    </xf>
    <xf numFmtId="0" fontId="52" fillId="16" borderId="0" xfId="0" applyFont="1" applyFill="1" applyAlignment="1" applyProtection="1">
      <alignment horizontal="center"/>
      <protection hidden="1"/>
    </xf>
    <xf numFmtId="0" fontId="52" fillId="16" borderId="0" xfId="0" applyFont="1" applyFill="1" applyAlignment="1">
      <alignment horizontal="center"/>
    </xf>
    <xf numFmtId="0" fontId="5" fillId="15" borderId="0" xfId="0" applyFont="1" applyFill="1" applyProtection="1">
      <protection hidden="1"/>
    </xf>
    <xf numFmtId="0" fontId="17" fillId="9" borderId="0" xfId="0" applyFont="1" applyFill="1" applyAlignment="1" applyProtection="1">
      <alignment horizontal="left"/>
      <protection hidden="1"/>
    </xf>
    <xf numFmtId="0" fontId="0" fillId="9" borderId="0" xfId="0" applyFill="1" applyAlignment="1" applyProtection="1">
      <alignment horizontal="left"/>
      <protection hidden="1"/>
    </xf>
    <xf numFmtId="0" fontId="64" fillId="14" borderId="0" xfId="0" applyFont="1" applyFill="1" applyAlignment="1" applyProtection="1">
      <alignment horizontal="left" wrapText="1"/>
      <protection hidden="1"/>
    </xf>
    <xf numFmtId="0" fontId="64" fillId="14" borderId="43" xfId="0" applyFont="1" applyFill="1" applyBorder="1" applyAlignment="1" applyProtection="1">
      <alignment horizontal="left" wrapText="1"/>
      <protection hidden="1"/>
    </xf>
    <xf numFmtId="0" fontId="14" fillId="9" borderId="0" xfId="0" applyFont="1" applyFill="1" applyAlignment="1" applyProtection="1">
      <alignment horizontal="left"/>
      <protection hidden="1"/>
    </xf>
    <xf numFmtId="0" fontId="58" fillId="13" borderId="52" xfId="0" applyFont="1" applyFill="1" applyBorder="1" applyAlignment="1" applyProtection="1">
      <alignment horizontal="right"/>
      <protection hidden="1"/>
    </xf>
    <xf numFmtId="0" fontId="58" fillId="13" borderId="53" xfId="0" applyFont="1" applyFill="1" applyBorder="1" applyAlignment="1" applyProtection="1">
      <alignment horizontal="right"/>
      <protection hidden="1"/>
    </xf>
    <xf numFmtId="0" fontId="77" fillId="9" borderId="0" xfId="0" applyFont="1" applyFill="1" applyAlignment="1" applyProtection="1">
      <alignment horizontal="center" vertical="center" textRotation="90"/>
      <protection hidden="1"/>
    </xf>
    <xf numFmtId="0" fontId="60" fillId="12" borderId="50" xfId="0" applyFont="1" applyFill="1" applyBorder="1" applyAlignment="1" applyProtection="1">
      <alignment horizontal="right"/>
      <protection hidden="1"/>
    </xf>
    <xf numFmtId="0" fontId="60" fillId="12" borderId="0" xfId="0" applyFont="1" applyFill="1" applyAlignment="1" applyProtection="1">
      <alignment horizontal="right"/>
      <protection hidden="1"/>
    </xf>
    <xf numFmtId="0" fontId="60" fillId="12" borderId="0" xfId="0" applyFont="1" applyFill="1" applyAlignment="1" applyProtection="1">
      <alignment horizontal="left" wrapText="1"/>
      <protection hidden="1"/>
    </xf>
    <xf numFmtId="0" fontId="60" fillId="12" borderId="40" xfId="0" applyFont="1" applyFill="1" applyBorder="1" applyAlignment="1" applyProtection="1">
      <alignment horizontal="left" wrapText="1"/>
      <protection hidden="1"/>
    </xf>
    <xf numFmtId="0" fontId="60" fillId="12" borderId="21" xfId="0" applyFont="1" applyFill="1" applyBorder="1" applyAlignment="1" applyProtection="1">
      <alignment horizontal="left" wrapText="1"/>
      <protection hidden="1"/>
    </xf>
    <xf numFmtId="0" fontId="60" fillId="12" borderId="41" xfId="0" applyFont="1" applyFill="1" applyBorder="1" applyAlignment="1" applyProtection="1">
      <alignment horizontal="left" wrapText="1"/>
      <protection hidden="1"/>
    </xf>
    <xf numFmtId="0" fontId="60" fillId="9" borderId="53" xfId="0" applyFont="1" applyFill="1" applyBorder="1" applyAlignment="1" applyProtection="1">
      <alignment horizontal="left"/>
      <protection hidden="1"/>
    </xf>
    <xf numFmtId="165" fontId="17" fillId="9" borderId="14" xfId="0" applyNumberFormat="1" applyFont="1" applyFill="1" applyBorder="1" applyAlignment="1" applyProtection="1">
      <alignment horizontal="center" wrapText="1"/>
      <protection locked="0"/>
    </xf>
    <xf numFmtId="3" fontId="17" fillId="8" borderId="13" xfId="0" applyNumberFormat="1" applyFont="1" applyFill="1" applyBorder="1" applyAlignment="1" applyProtection="1">
      <alignment horizontal="center" wrapText="1"/>
      <protection locked="0"/>
    </xf>
    <xf numFmtId="3" fontId="17" fillId="8" borderId="14" xfId="0" applyNumberFormat="1" applyFont="1" applyFill="1" applyBorder="1" applyAlignment="1" applyProtection="1">
      <alignment horizontal="center"/>
      <protection locked="0"/>
    </xf>
    <xf numFmtId="0" fontId="2" fillId="12" borderId="29" xfId="0" applyFont="1" applyFill="1" applyBorder="1" applyAlignment="1" applyProtection="1">
      <alignment horizontal="left"/>
      <protection hidden="1"/>
    </xf>
    <xf numFmtId="0" fontId="0" fillId="12" borderId="28" xfId="0" applyFill="1" applyBorder="1" applyProtection="1">
      <protection hidden="1"/>
    </xf>
    <xf numFmtId="169" fontId="35" fillId="2" borderId="34" xfId="1" applyNumberFormat="1" applyFont="1" applyFill="1" applyBorder="1" applyAlignment="1" applyProtection="1">
      <alignment horizontal="center"/>
      <protection hidden="1"/>
    </xf>
    <xf numFmtId="169" fontId="36" fillId="2" borderId="35" xfId="0" applyNumberFormat="1" applyFont="1" applyFill="1" applyBorder="1" applyProtection="1">
      <protection hidden="1"/>
    </xf>
    <xf numFmtId="0" fontId="87" fillId="9" borderId="85" xfId="0" applyFont="1" applyFill="1" applyBorder="1" applyAlignment="1" applyProtection="1">
      <alignment horizontal="left" wrapText="1"/>
      <protection hidden="1"/>
    </xf>
    <xf numFmtId="0" fontId="87" fillId="9" borderId="85" xfId="0" applyFont="1" applyFill="1" applyBorder="1" applyProtection="1">
      <protection hidden="1"/>
    </xf>
    <xf numFmtId="0" fontId="87" fillId="9" borderId="84" xfId="0" applyFont="1" applyFill="1" applyBorder="1" applyProtection="1">
      <protection hidden="1"/>
    </xf>
    <xf numFmtId="0" fontId="1" fillId="9" borderId="19" xfId="0" applyFont="1" applyFill="1" applyBorder="1" applyAlignment="1" applyProtection="1">
      <alignment horizontal="left"/>
      <protection locked="0" hidden="1"/>
    </xf>
    <xf numFmtId="0" fontId="0" fillId="9" borderId="19" xfId="0" applyFill="1" applyBorder="1" applyProtection="1">
      <protection locked="0" hidden="1"/>
    </xf>
    <xf numFmtId="22" fontId="3" fillId="2" borderId="35" xfId="0" applyNumberFormat="1" applyFont="1" applyFill="1" applyBorder="1" applyAlignment="1" applyProtection="1">
      <alignment horizontal="right"/>
      <protection hidden="1"/>
    </xf>
    <xf numFmtId="0" fontId="0" fillId="0" borderId="35" xfId="0" applyBorder="1" applyProtection="1">
      <protection hidden="1"/>
    </xf>
    <xf numFmtId="0" fontId="63" fillId="14" borderId="74" xfId="0" applyFont="1" applyFill="1" applyBorder="1" applyAlignment="1" applyProtection="1">
      <alignment horizontal="center"/>
      <protection hidden="1"/>
    </xf>
    <xf numFmtId="0" fontId="73" fillId="12" borderId="43" xfId="0" applyFont="1" applyFill="1" applyBorder="1" applyAlignment="1" applyProtection="1">
      <alignment horizontal="left" textRotation="90" wrapText="1"/>
      <protection hidden="1"/>
    </xf>
    <xf numFmtId="0" fontId="73" fillId="12" borderId="43" xfId="0" applyFont="1" applyFill="1" applyBorder="1" applyAlignment="1">
      <alignment horizontal="left" textRotation="90" wrapText="1"/>
    </xf>
    <xf numFmtId="0" fontId="73" fillId="12" borderId="46" xfId="0" applyFont="1" applyFill="1" applyBorder="1" applyAlignment="1">
      <alignment horizontal="left" textRotation="90" wrapText="1"/>
    </xf>
    <xf numFmtId="0" fontId="5" fillId="12" borderId="36" xfId="0" applyFont="1" applyFill="1" applyBorder="1" applyAlignment="1" applyProtection="1">
      <alignment horizontal="left"/>
      <protection hidden="1"/>
    </xf>
    <xf numFmtId="0" fontId="0" fillId="12" borderId="2" xfId="0" applyFill="1" applyBorder="1" applyAlignment="1" applyProtection="1">
      <alignment horizontal="left"/>
      <protection hidden="1"/>
    </xf>
    <xf numFmtId="0" fontId="5" fillId="12" borderId="37" xfId="0" applyFont="1" applyFill="1" applyBorder="1" applyAlignment="1" applyProtection="1">
      <alignment horizontal="left"/>
      <protection hidden="1"/>
    </xf>
    <xf numFmtId="0" fontId="0" fillId="12" borderId="20" xfId="0" applyFill="1" applyBorder="1" applyAlignment="1" applyProtection="1">
      <alignment horizontal="left"/>
      <protection hidden="1"/>
    </xf>
    <xf numFmtId="0" fontId="4" fillId="9" borderId="60" xfId="0" applyFont="1" applyFill="1" applyBorder="1" applyAlignment="1" applyProtection="1">
      <alignment horizontal="left"/>
      <protection locked="0"/>
    </xf>
    <xf numFmtId="0" fontId="4" fillId="9" borderId="61" xfId="0" applyFont="1" applyFill="1" applyBorder="1" applyAlignment="1" applyProtection="1">
      <alignment horizontal="left"/>
      <protection locked="0"/>
    </xf>
    <xf numFmtId="0" fontId="4" fillId="9" borderId="62" xfId="0" applyFont="1" applyFill="1" applyBorder="1" applyAlignment="1" applyProtection="1">
      <alignment horizontal="left"/>
      <protection locked="0"/>
    </xf>
    <xf numFmtId="0" fontId="4" fillId="9" borderId="63" xfId="0" applyFont="1" applyFill="1" applyBorder="1" applyAlignment="1" applyProtection="1">
      <alignment horizontal="left"/>
      <protection locked="0"/>
    </xf>
    <xf numFmtId="0" fontId="4" fillId="9" borderId="64" xfId="0" applyFont="1" applyFill="1" applyBorder="1" applyAlignment="1" applyProtection="1">
      <alignment horizontal="left"/>
      <protection locked="0"/>
    </xf>
    <xf numFmtId="0" fontId="4" fillId="9" borderId="65" xfId="0" applyFont="1" applyFill="1" applyBorder="1" applyAlignment="1" applyProtection="1">
      <alignment horizontal="left"/>
      <protection locked="0"/>
    </xf>
    <xf numFmtId="0" fontId="58" fillId="12" borderId="0" xfId="0" applyFont="1" applyFill="1" applyAlignment="1" applyProtection="1">
      <alignment horizontal="right"/>
      <protection hidden="1"/>
    </xf>
    <xf numFmtId="2" fontId="58" fillId="13" borderId="53" xfId="0" applyNumberFormat="1" applyFont="1" applyFill="1" applyBorder="1" applyAlignment="1" applyProtection="1">
      <alignment horizontal="left"/>
      <protection hidden="1"/>
    </xf>
    <xf numFmtId="2" fontId="58" fillId="13" borderId="54" xfId="0" applyNumberFormat="1" applyFont="1" applyFill="1" applyBorder="1" applyAlignment="1" applyProtection="1">
      <alignment horizontal="left"/>
      <protection hidden="1"/>
    </xf>
    <xf numFmtId="2" fontId="64" fillId="14" borderId="0" xfId="0" applyNumberFormat="1" applyFont="1" applyFill="1" applyAlignment="1" applyProtection="1">
      <alignment horizontal="left" wrapText="1"/>
      <protection hidden="1"/>
    </xf>
    <xf numFmtId="0" fontId="64" fillId="14" borderId="0" xfId="0" applyFont="1" applyFill="1" applyAlignment="1" applyProtection="1">
      <alignment horizontal="left"/>
      <protection hidden="1"/>
    </xf>
    <xf numFmtId="0" fontId="64" fillId="14" borderId="43" xfId="0" applyFont="1" applyFill="1" applyBorder="1" applyAlignment="1" applyProtection="1">
      <alignment horizontal="left"/>
      <protection hidden="1"/>
    </xf>
    <xf numFmtId="165" fontId="17" fillId="9" borderId="14" xfId="0" applyNumberFormat="1" applyFont="1" applyFill="1" applyBorder="1" applyAlignment="1" applyProtection="1">
      <alignment horizontal="center"/>
      <protection locked="0"/>
    </xf>
    <xf numFmtId="0" fontId="84" fillId="10" borderId="82" xfId="2" applyFill="1" applyBorder="1" applyAlignment="1">
      <alignment horizontal="center" vertical="center"/>
    </xf>
    <xf numFmtId="0" fontId="83" fillId="10" borderId="82" xfId="0" applyFont="1" applyFill="1" applyBorder="1" applyAlignment="1">
      <alignment horizontal="center" vertical="center"/>
    </xf>
    <xf numFmtId="0" fontId="64" fillId="14" borderId="71" xfId="0" applyFont="1" applyFill="1" applyBorder="1" applyAlignment="1" applyProtection="1">
      <alignment horizontal="center"/>
      <protection hidden="1"/>
    </xf>
    <xf numFmtId="0" fontId="64" fillId="14" borderId="75" xfId="0" applyFont="1" applyFill="1" applyBorder="1" applyAlignment="1" applyProtection="1">
      <alignment horizontal="center"/>
      <protection hidden="1"/>
    </xf>
    <xf numFmtId="0" fontId="5" fillId="9" borderId="80" xfId="0" applyFont="1" applyFill="1" applyBorder="1" applyAlignment="1" applyProtection="1">
      <alignment horizontal="center"/>
      <protection locked="0"/>
    </xf>
    <xf numFmtId="0" fontId="5" fillId="9" borderId="81" xfId="0" applyFont="1" applyFill="1" applyBorder="1" applyAlignment="1" applyProtection="1">
      <alignment horizontal="center"/>
      <protection locked="0"/>
    </xf>
    <xf numFmtId="0" fontId="64" fillId="14" borderId="7" xfId="0" applyFont="1" applyFill="1" applyBorder="1" applyAlignment="1" applyProtection="1">
      <alignment horizontal="right"/>
      <protection hidden="1"/>
    </xf>
    <xf numFmtId="0" fontId="64" fillId="14" borderId="0" xfId="0" applyFont="1" applyFill="1" applyAlignment="1" applyProtection="1">
      <alignment horizontal="right"/>
      <protection hidden="1"/>
    </xf>
    <xf numFmtId="0" fontId="86" fillId="14" borderId="72" xfId="0" applyFont="1" applyFill="1" applyBorder="1" applyAlignment="1" applyProtection="1">
      <alignment horizontal="center" wrapText="1"/>
      <protection hidden="1"/>
    </xf>
    <xf numFmtId="0" fontId="86" fillId="14" borderId="0" xfId="0" applyFont="1" applyFill="1" applyAlignment="1" applyProtection="1">
      <alignment horizontal="center" wrapText="1"/>
      <protection hidden="1"/>
    </xf>
    <xf numFmtId="2" fontId="7" fillId="12" borderId="0" xfId="0" applyNumberFormat="1" applyFont="1" applyFill="1" applyAlignment="1" applyProtection="1">
      <alignment horizontal="center" wrapText="1"/>
      <protection hidden="1"/>
    </xf>
    <xf numFmtId="0" fontId="0" fillId="12" borderId="0" xfId="0" applyFill="1" applyAlignment="1" applyProtection="1">
      <alignment horizontal="center"/>
      <protection hidden="1"/>
    </xf>
    <xf numFmtId="0" fontId="62" fillId="14" borderId="0" xfId="0" applyFont="1" applyFill="1" applyAlignment="1" applyProtection="1">
      <alignment horizontal="right" wrapText="1"/>
      <protection hidden="1"/>
    </xf>
    <xf numFmtId="0" fontId="7" fillId="12" borderId="0" xfId="0" applyFont="1" applyFill="1" applyProtection="1">
      <protection hidden="1"/>
    </xf>
    <xf numFmtId="0" fontId="7" fillId="12" borderId="0" xfId="0" applyFont="1" applyFill="1"/>
    <xf numFmtId="1" fontId="17" fillId="9" borderId="13" xfId="0" applyNumberFormat="1" applyFont="1" applyFill="1" applyBorder="1" applyAlignment="1" applyProtection="1">
      <alignment horizontal="center" wrapText="1"/>
      <protection locked="0"/>
    </xf>
    <xf numFmtId="1" fontId="17" fillId="9" borderId="14" xfId="0" applyNumberFormat="1" applyFont="1" applyFill="1" applyBorder="1" applyAlignment="1" applyProtection="1">
      <alignment horizontal="center" wrapText="1"/>
      <protection locked="0"/>
    </xf>
    <xf numFmtId="0" fontId="23" fillId="9" borderId="15" xfId="0" applyFont="1" applyFill="1" applyBorder="1" applyAlignment="1" applyProtection="1">
      <alignment horizontal="center" wrapText="1"/>
      <protection locked="0"/>
    </xf>
    <xf numFmtId="0" fontId="0" fillId="9" borderId="16" xfId="0" applyFill="1" applyBorder="1" applyProtection="1">
      <protection locked="0"/>
    </xf>
    <xf numFmtId="0" fontId="0" fillId="9" borderId="17" xfId="0" applyFill="1" applyBorder="1" applyProtection="1">
      <protection locked="0"/>
    </xf>
    <xf numFmtId="0" fontId="75" fillId="10" borderId="56" xfId="0" applyFont="1" applyFill="1" applyBorder="1" applyAlignment="1" applyProtection="1">
      <alignment horizontal="center" vertical="center"/>
      <protection hidden="1"/>
    </xf>
    <xf numFmtId="0" fontId="75" fillId="10" borderId="57" xfId="0" applyFont="1" applyFill="1" applyBorder="1" applyAlignment="1" applyProtection="1">
      <alignment horizontal="center" vertical="center"/>
      <protection hidden="1"/>
    </xf>
    <xf numFmtId="0" fontId="75" fillId="10" borderId="58" xfId="0" applyFont="1" applyFill="1" applyBorder="1" applyAlignment="1" applyProtection="1">
      <alignment horizontal="center" vertical="center"/>
      <protection hidden="1"/>
    </xf>
    <xf numFmtId="0" fontId="75" fillId="10" borderId="59" xfId="0" applyFont="1" applyFill="1" applyBorder="1" applyAlignment="1" applyProtection="1">
      <alignment horizontal="center" vertical="center"/>
      <protection hidden="1"/>
    </xf>
    <xf numFmtId="0" fontId="75" fillId="10" borderId="21" xfId="0" applyFont="1" applyFill="1" applyBorder="1" applyAlignment="1" applyProtection="1">
      <alignment horizontal="center" vertical="center"/>
      <protection hidden="1"/>
    </xf>
    <xf numFmtId="0" fontId="75" fillId="10" borderId="41" xfId="0" applyFont="1" applyFill="1" applyBorder="1" applyAlignment="1" applyProtection="1">
      <alignment horizontal="center" vertical="center"/>
      <protection hidden="1"/>
    </xf>
    <xf numFmtId="0" fontId="9" fillId="9" borderId="0" xfId="0" applyFont="1" applyFill="1" applyAlignment="1" applyProtection="1">
      <alignment horizontal="left" vertical="top" textRotation="90" wrapText="1"/>
      <protection hidden="1"/>
    </xf>
    <xf numFmtId="0" fontId="7" fillId="9" borderId="0" xfId="0" applyFont="1" applyFill="1" applyAlignment="1">
      <alignment horizontal="left" vertical="top" textRotation="90" wrapText="1"/>
    </xf>
    <xf numFmtId="165" fontId="9" fillId="9" borderId="0" xfId="0" applyNumberFormat="1" applyFont="1" applyFill="1" applyAlignment="1" applyProtection="1">
      <alignment horizontal="left" textRotation="90" wrapText="1"/>
      <protection hidden="1"/>
    </xf>
    <xf numFmtId="165" fontId="9" fillId="9" borderId="0" xfId="0" applyNumberFormat="1" applyFont="1" applyFill="1" applyAlignment="1">
      <alignment horizontal="left" textRotation="90" wrapText="1"/>
    </xf>
    <xf numFmtId="0" fontId="77" fillId="9" borderId="0" xfId="0" applyFont="1" applyFill="1" applyAlignment="1" applyProtection="1">
      <alignment horizontal="center" vertical="center"/>
      <protection hidden="1"/>
    </xf>
    <xf numFmtId="0" fontId="42" fillId="12" borderId="0" xfId="0" applyFont="1" applyFill="1" applyAlignment="1" applyProtection="1">
      <alignment horizontal="left"/>
      <protection hidden="1"/>
    </xf>
    <xf numFmtId="0" fontId="42" fillId="12" borderId="43" xfId="0" applyFont="1" applyFill="1" applyBorder="1" applyAlignment="1">
      <alignment horizontal="left"/>
    </xf>
    <xf numFmtId="167" fontId="10" fillId="0" borderId="0" xfId="0" applyNumberFormat="1" applyFont="1" applyAlignment="1" applyProtection="1">
      <alignment horizontal="center" wrapText="1"/>
      <protection hidden="1"/>
    </xf>
    <xf numFmtId="0" fontId="10" fillId="0" borderId="0" xfId="0" applyFont="1" applyAlignment="1" applyProtection="1">
      <alignment horizontal="center" wrapText="1"/>
      <protection hidden="1"/>
    </xf>
    <xf numFmtId="1" fontId="10" fillId="0" borderId="0" xfId="0" applyNumberFormat="1" applyFont="1" applyAlignment="1" applyProtection="1">
      <alignment horizontal="right" wrapText="1"/>
      <protection hidden="1"/>
    </xf>
    <xf numFmtId="0" fontId="10" fillId="0" borderId="0" xfId="0" applyFont="1" applyAlignment="1" applyProtection="1">
      <alignment horizontal="right" wrapText="1"/>
      <protection hidden="1"/>
    </xf>
    <xf numFmtId="2" fontId="10" fillId="0" borderId="0" xfId="0" applyNumberFormat="1" applyFont="1" applyAlignment="1" applyProtection="1">
      <alignment horizontal="right" wrapText="1"/>
      <protection hidden="1"/>
    </xf>
    <xf numFmtId="2" fontId="64" fillId="14" borderId="43" xfId="0" applyNumberFormat="1" applyFont="1" applyFill="1" applyBorder="1" applyAlignment="1" applyProtection="1">
      <alignment horizontal="left" wrapText="1"/>
      <protection hidden="1"/>
    </xf>
    <xf numFmtId="2" fontId="25" fillId="12" borderId="0" xfId="0" applyNumberFormat="1" applyFont="1" applyFill="1" applyAlignment="1" applyProtection="1">
      <alignment horizontal="center" wrapText="1"/>
      <protection hidden="1"/>
    </xf>
    <xf numFmtId="0" fontId="23" fillId="12" borderId="0" xfId="0" applyFont="1" applyFill="1" applyAlignment="1" applyProtection="1">
      <alignment horizontal="center"/>
      <protection hidden="1"/>
    </xf>
    <xf numFmtId="166" fontId="10" fillId="0" borderId="0" xfId="0" applyNumberFormat="1" applyFont="1" applyAlignment="1" applyProtection="1">
      <alignment horizontal="center" wrapText="1"/>
      <protection hidden="1"/>
    </xf>
    <xf numFmtId="0" fontId="10" fillId="0" borderId="0" xfId="0" applyFont="1" applyAlignment="1" applyProtection="1">
      <alignment wrapText="1"/>
      <protection hidden="1"/>
    </xf>
    <xf numFmtId="2" fontId="59" fillId="12" borderId="0" xfId="0" applyNumberFormat="1" applyFont="1" applyFill="1" applyAlignment="1" applyProtection="1">
      <alignment horizontal="center" wrapText="1"/>
      <protection hidden="1"/>
    </xf>
    <xf numFmtId="0" fontId="58" fillId="12" borderId="0" xfId="0" applyFont="1" applyFill="1" applyAlignment="1" applyProtection="1">
      <alignment horizont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62" fillId="14" borderId="0" xfId="0" applyFont="1" applyFill="1" applyProtection="1">
      <protection hidden="1"/>
    </xf>
    <xf numFmtId="2" fontId="60" fillId="13" borderId="0" xfId="0" applyNumberFormat="1" applyFont="1" applyFill="1" applyAlignment="1" applyProtection="1">
      <alignment horizontal="left" wrapText="1"/>
      <protection hidden="1"/>
    </xf>
    <xf numFmtId="2" fontId="60" fillId="9" borderId="53" xfId="0" applyNumberFormat="1" applyFont="1" applyFill="1" applyBorder="1" applyAlignment="1" applyProtection="1">
      <alignment horizontal="left" wrapText="1"/>
      <protection hidden="1"/>
    </xf>
    <xf numFmtId="0" fontId="15" fillId="0" borderId="0" xfId="0" applyFont="1" applyAlignment="1" applyProtection="1">
      <alignment horizontal="right" wrapText="1"/>
      <protection hidden="1"/>
    </xf>
    <xf numFmtId="2" fontId="7" fillId="10" borderId="0" xfId="0" applyNumberFormat="1" applyFont="1" applyFill="1" applyAlignment="1" applyProtection="1">
      <alignment horizontal="center" wrapText="1"/>
      <protection hidden="1"/>
    </xf>
    <xf numFmtId="0" fontId="0" fillId="10" borderId="0" xfId="0" applyFill="1" applyAlignment="1" applyProtection="1">
      <alignment horizontal="center"/>
      <protection hidden="1"/>
    </xf>
    <xf numFmtId="0" fontId="60" fillId="13" borderId="0" xfId="0" applyFont="1" applyFill="1" applyAlignment="1" applyProtection="1">
      <alignment horizontal="right"/>
      <protection hidden="1"/>
    </xf>
    <xf numFmtId="0" fontId="60" fillId="9" borderId="52" xfId="0" applyFont="1" applyFill="1" applyBorder="1" applyAlignment="1" applyProtection="1">
      <alignment horizontal="right"/>
      <protection hidden="1"/>
    </xf>
    <xf numFmtId="0" fontId="60" fillId="9" borderId="53" xfId="0" applyFont="1" applyFill="1" applyBorder="1" applyAlignment="1" applyProtection="1">
      <alignment horizontal="right"/>
      <protection hidden="1"/>
    </xf>
    <xf numFmtId="0" fontId="60" fillId="13" borderId="0" xfId="0" applyFont="1" applyFill="1" applyAlignment="1" applyProtection="1">
      <alignment horizontal="left"/>
      <protection hidden="1"/>
    </xf>
    <xf numFmtId="167" fontId="60" fillId="9" borderId="53" xfId="0" applyNumberFormat="1" applyFont="1" applyFill="1" applyBorder="1" applyAlignment="1" applyProtection="1">
      <alignment horizontal="left"/>
      <protection hidden="1"/>
    </xf>
    <xf numFmtId="167" fontId="60" fillId="13" borderId="0" xfId="0" applyNumberFormat="1" applyFont="1" applyFill="1" applyAlignment="1" applyProtection="1">
      <alignment horizontal="left"/>
      <protection hidden="1"/>
    </xf>
    <xf numFmtId="0" fontId="77" fillId="9" borderId="78" xfId="0" applyFont="1" applyFill="1" applyBorder="1" applyAlignment="1" applyProtection="1">
      <alignment horizontal="center" wrapText="1"/>
      <protection hidden="1"/>
    </xf>
    <xf numFmtId="0" fontId="77" fillId="9" borderId="21" xfId="0" applyFont="1" applyFill="1" applyBorder="1" applyAlignment="1" applyProtection="1">
      <alignment horizontal="center" wrapText="1"/>
      <protection hidden="1"/>
    </xf>
    <xf numFmtId="0" fontId="77" fillId="9" borderId="79" xfId="0" applyFont="1" applyFill="1" applyBorder="1" applyAlignment="1" applyProtection="1">
      <alignment horizontal="center" wrapText="1"/>
      <protection hidden="1"/>
    </xf>
    <xf numFmtId="2" fontId="58" fillId="12" borderId="0" xfId="0" applyNumberFormat="1" applyFont="1" applyFill="1" applyAlignment="1" applyProtection="1">
      <alignment horizontal="left"/>
      <protection hidden="1"/>
    </xf>
    <xf numFmtId="0" fontId="77" fillId="11" borderId="86" xfId="0" applyFont="1" applyFill="1" applyBorder="1" applyAlignment="1" applyProtection="1">
      <alignment horizontal="center" vertical="center" wrapText="1"/>
      <protection hidden="1"/>
    </xf>
    <xf numFmtId="0" fontId="77" fillId="11" borderId="87" xfId="0" applyFont="1" applyFill="1" applyBorder="1" applyAlignment="1" applyProtection="1">
      <alignment horizontal="center" vertical="center" wrapText="1"/>
      <protection hidden="1"/>
    </xf>
    <xf numFmtId="0" fontId="60" fillId="12" borderId="51" xfId="0" applyFont="1" applyFill="1" applyBorder="1" applyAlignment="1" applyProtection="1">
      <alignment horizontal="right"/>
      <protection hidden="1"/>
    </xf>
    <xf numFmtId="0" fontId="60" fillId="12" borderId="21" xfId="0" applyFont="1" applyFill="1" applyBorder="1" applyAlignment="1" applyProtection="1">
      <alignment horizontal="right"/>
      <protection hidden="1"/>
    </xf>
    <xf numFmtId="0" fontId="53" fillId="16" borderId="0" xfId="0" applyFont="1" applyFill="1" applyAlignment="1" applyProtection="1">
      <alignment horizontal="center"/>
      <protection hidden="1"/>
    </xf>
    <xf numFmtId="0" fontId="53" fillId="16" borderId="0" xfId="0" applyFont="1" applyFill="1" applyAlignment="1">
      <alignment horizontal="center"/>
    </xf>
    <xf numFmtId="2" fontId="5" fillId="9" borderId="0" xfId="0" applyNumberFormat="1" applyFont="1" applyFill="1" applyAlignment="1" applyProtection="1">
      <alignment horizontal="right"/>
      <protection hidden="1"/>
    </xf>
    <xf numFmtId="0" fontId="0" fillId="9" borderId="0" xfId="0" applyFill="1" applyAlignment="1">
      <alignment horizontal="right"/>
    </xf>
    <xf numFmtId="0" fontId="52" fillId="16" borderId="0" xfId="0" applyFont="1" applyFill="1" applyAlignment="1">
      <alignment horizontal="right"/>
    </xf>
    <xf numFmtId="0" fontId="58" fillId="13" borderId="52" xfId="0" applyFont="1" applyFill="1" applyBorder="1" applyAlignment="1" applyProtection="1">
      <alignment horizontal="center"/>
      <protection hidden="1"/>
    </xf>
    <xf numFmtId="0" fontId="58" fillId="13" borderId="53" xfId="0" applyFont="1" applyFill="1" applyBorder="1" applyAlignment="1" applyProtection="1">
      <alignment horizontal="center"/>
      <protection hidden="1"/>
    </xf>
    <xf numFmtId="2" fontId="60" fillId="9" borderId="52" xfId="0" applyNumberFormat="1" applyFont="1" applyFill="1" applyBorder="1" applyAlignment="1" applyProtection="1">
      <alignment horizontal="right"/>
      <protection hidden="1"/>
    </xf>
    <xf numFmtId="2" fontId="60" fillId="9" borderId="53" xfId="0" applyNumberFormat="1" applyFont="1" applyFill="1" applyBorder="1" applyAlignment="1" applyProtection="1">
      <alignment horizontal="right"/>
      <protection hidden="1"/>
    </xf>
    <xf numFmtId="0" fontId="60" fillId="12" borderId="47" xfId="0" applyFont="1" applyFill="1" applyBorder="1" applyAlignment="1" applyProtection="1">
      <alignment horizontal="right"/>
      <protection hidden="1"/>
    </xf>
    <xf numFmtId="0" fontId="60" fillId="12" borderId="48" xfId="0" applyFont="1" applyFill="1" applyBorder="1" applyAlignment="1" applyProtection="1">
      <alignment horizontal="right"/>
      <protection hidden="1"/>
    </xf>
    <xf numFmtId="0" fontId="60" fillId="12" borderId="48" xfId="0" applyFont="1" applyFill="1" applyBorder="1" applyAlignment="1" applyProtection="1">
      <alignment horizontal="left"/>
      <protection hidden="1"/>
    </xf>
    <xf numFmtId="0" fontId="60" fillId="12" borderId="49" xfId="0" applyFont="1" applyFill="1" applyBorder="1" applyAlignment="1" applyProtection="1">
      <alignment horizontal="left"/>
      <protection hidden="1"/>
    </xf>
    <xf numFmtId="2" fontId="60" fillId="13" borderId="0" xfId="0" applyNumberFormat="1" applyFont="1" applyFill="1" applyAlignment="1" applyProtection="1">
      <alignment horizontal="right"/>
      <protection hidden="1"/>
    </xf>
    <xf numFmtId="0" fontId="73" fillId="12" borderId="0" xfId="0" applyFont="1" applyFill="1" applyAlignment="1" applyProtection="1">
      <alignment horizontal="right" textRotation="90" wrapText="1"/>
      <protection hidden="1"/>
    </xf>
    <xf numFmtId="0" fontId="73" fillId="12" borderId="0" xfId="0" applyFont="1" applyFill="1" applyAlignment="1">
      <alignment horizontal="right" textRotation="90" wrapText="1"/>
    </xf>
    <xf numFmtId="0" fontId="73" fillId="12" borderId="45" xfId="0" applyFont="1" applyFill="1" applyBorder="1" applyAlignment="1">
      <alignment horizontal="right" textRotation="90" wrapText="1"/>
    </xf>
    <xf numFmtId="0" fontId="77" fillId="10" borderId="48" xfId="0" applyFont="1" applyFill="1" applyBorder="1" applyAlignment="1" applyProtection="1">
      <alignment horizontal="center" vertical="top" wrapText="1"/>
      <protection hidden="1"/>
    </xf>
    <xf numFmtId="0" fontId="77" fillId="10" borderId="88" xfId="0" applyFont="1" applyFill="1" applyBorder="1" applyAlignment="1" applyProtection="1">
      <alignment horizontal="center" vertical="top" wrapText="1"/>
      <protection hidden="1"/>
    </xf>
    <xf numFmtId="0" fontId="77" fillId="10" borderId="0" xfId="0" applyFont="1" applyFill="1" applyAlignment="1" applyProtection="1">
      <alignment horizontal="center" vertical="top" wrapText="1"/>
      <protection hidden="1"/>
    </xf>
    <xf numFmtId="0" fontId="77" fillId="10" borderId="22" xfId="0" applyFont="1" applyFill="1" applyBorder="1" applyAlignment="1" applyProtection="1">
      <alignment horizontal="center" vertical="top" wrapText="1"/>
      <protection hidden="1"/>
    </xf>
    <xf numFmtId="165" fontId="60" fillId="12" borderId="0" xfId="0" applyNumberFormat="1" applyFont="1" applyFill="1" applyAlignment="1" applyProtection="1">
      <alignment horizontal="left" wrapText="1"/>
      <protection hidden="1"/>
    </xf>
    <xf numFmtId="165" fontId="60" fillId="12" borderId="40" xfId="0" applyNumberFormat="1" applyFont="1" applyFill="1" applyBorder="1" applyAlignment="1" applyProtection="1">
      <alignment horizontal="left" wrapText="1"/>
      <protection hidden="1"/>
    </xf>
    <xf numFmtId="2" fontId="60" fillId="12" borderId="0" xfId="0" applyNumberFormat="1" applyFont="1" applyFill="1" applyAlignment="1" applyProtection="1">
      <alignment horizontal="left"/>
      <protection hidden="1"/>
    </xf>
    <xf numFmtId="2" fontId="60" fillId="12" borderId="40" xfId="0" applyNumberFormat="1" applyFont="1" applyFill="1" applyBorder="1" applyAlignment="1" applyProtection="1">
      <alignment horizontal="left"/>
      <protection hidden="1"/>
    </xf>
    <xf numFmtId="0" fontId="54" fillId="16" borderId="0" xfId="0" applyFont="1" applyFill="1" applyAlignment="1" applyProtection="1">
      <alignment horizontal="center"/>
      <protection hidden="1"/>
    </xf>
    <xf numFmtId="0" fontId="53" fillId="16" borderId="0" xfId="0" applyFont="1" applyFill="1" applyProtection="1">
      <protection hidden="1"/>
    </xf>
    <xf numFmtId="0" fontId="53" fillId="16" borderId="0" xfId="0" applyFont="1" applyFill="1"/>
    <xf numFmtId="2" fontId="53" fillId="5" borderId="22" xfId="0" applyNumberFormat="1" applyFont="1" applyFill="1" applyBorder="1" applyAlignment="1" applyProtection="1">
      <alignment vertical="center" textRotation="90" wrapText="1"/>
      <protection hidden="1"/>
    </xf>
    <xf numFmtId="0" fontId="53" fillId="5" borderId="22" xfId="0" applyFont="1" applyFill="1" applyBorder="1" applyAlignment="1">
      <alignment vertical="center" textRotation="90" wrapText="1"/>
    </xf>
    <xf numFmtId="0" fontId="51" fillId="5" borderId="22" xfId="0" applyFont="1" applyFill="1" applyBorder="1" applyAlignment="1" applyProtection="1">
      <alignment vertical="top" textRotation="90" wrapText="1"/>
      <protection hidden="1"/>
    </xf>
    <xf numFmtId="0" fontId="55" fillId="5" borderId="22" xfId="0" applyFont="1" applyFill="1" applyBorder="1" applyAlignment="1">
      <alignment vertical="top" textRotation="90" wrapText="1"/>
    </xf>
    <xf numFmtId="0" fontId="5" fillId="12" borderId="52" xfId="0" applyFont="1" applyFill="1" applyBorder="1" applyAlignment="1" applyProtection="1">
      <alignment horizontal="right" wrapText="1"/>
      <protection hidden="1"/>
    </xf>
    <xf numFmtId="0" fontId="5" fillId="12" borderId="53" xfId="0" applyFont="1" applyFill="1" applyBorder="1" applyAlignment="1">
      <alignment horizontal="right" wrapText="1"/>
    </xf>
    <xf numFmtId="0" fontId="44" fillId="12" borderId="53" xfId="0" applyFont="1" applyFill="1" applyBorder="1" applyAlignment="1" applyProtection="1">
      <alignment horizontal="center" wrapText="1"/>
      <protection hidden="1"/>
    </xf>
    <xf numFmtId="0" fontId="44" fillId="12" borderId="53" xfId="0" applyFont="1" applyFill="1" applyBorder="1" applyAlignment="1">
      <alignment horizontal="center" wrapText="1"/>
    </xf>
    <xf numFmtId="0" fontId="44" fillId="12" borderId="54" xfId="0" applyFont="1" applyFill="1" applyBorder="1" applyAlignment="1">
      <alignment horizontal="center" wrapText="1"/>
    </xf>
    <xf numFmtId="0" fontId="5" fillId="12" borderId="26" xfId="0" applyFont="1" applyFill="1" applyBorder="1" applyAlignment="1" applyProtection="1">
      <alignment horizontal="right"/>
      <protection hidden="1"/>
    </xf>
    <xf numFmtId="0" fontId="5" fillId="12" borderId="0" xfId="0" applyFont="1" applyFill="1" applyAlignment="1">
      <alignment horizontal="right"/>
    </xf>
    <xf numFmtId="2" fontId="42" fillId="12" borderId="0" xfId="0" applyNumberFormat="1" applyFont="1" applyFill="1" applyAlignment="1" applyProtection="1">
      <alignment horizontal="center"/>
      <protection hidden="1"/>
    </xf>
    <xf numFmtId="2" fontId="42" fillId="12" borderId="0" xfId="0" applyNumberFormat="1" applyFont="1" applyFill="1" applyAlignment="1">
      <alignment horizontal="center"/>
    </xf>
    <xf numFmtId="0" fontId="42" fillId="12" borderId="53" xfId="0" applyFont="1" applyFill="1" applyBorder="1" applyAlignment="1">
      <alignment horizontal="center"/>
    </xf>
    <xf numFmtId="0" fontId="56" fillId="16" borderId="0" xfId="0" applyFont="1" applyFill="1" applyAlignment="1" applyProtection="1">
      <alignment horizontal="center"/>
      <protection hidden="1"/>
    </xf>
    <xf numFmtId="0" fontId="56" fillId="16" borderId="0" xfId="0" applyFont="1" applyFill="1" applyAlignment="1">
      <alignment horizontal="center"/>
    </xf>
    <xf numFmtId="0" fontId="5" fillId="12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0" fillId="0" borderId="0" xfId="0" applyAlignment="1" applyProtection="1">
      <alignment vertical="top"/>
      <protection hidden="1"/>
    </xf>
    <xf numFmtId="0" fontId="23" fillId="3" borderId="0" xfId="0" applyFont="1" applyFill="1" applyAlignment="1" applyProtection="1">
      <alignment horizontal="left"/>
      <protection hidden="1"/>
    </xf>
    <xf numFmtId="0" fontId="23" fillId="0" borderId="0" xfId="0" applyFont="1" applyProtection="1">
      <protection hidden="1"/>
    </xf>
    <xf numFmtId="0" fontId="23" fillId="3" borderId="0" xfId="0" applyFont="1" applyFill="1" applyAlignment="1" applyProtection="1">
      <alignment horizontal="left" vertical="top" wrapText="1"/>
      <protection hidden="1"/>
    </xf>
    <xf numFmtId="0" fontId="23" fillId="0" borderId="0" xfId="0" applyFont="1" applyAlignment="1" applyProtection="1">
      <alignment horizontal="left" vertical="top" wrapText="1"/>
      <protection hidden="1"/>
    </xf>
    <xf numFmtId="0" fontId="0" fillId="0" borderId="0" xfId="0" applyAlignment="1" applyProtection="1">
      <alignment wrapText="1"/>
      <protection hidden="1"/>
    </xf>
    <xf numFmtId="0" fontId="1" fillId="3" borderId="0" xfId="0" applyFont="1" applyFill="1" applyAlignment="1" applyProtection="1">
      <alignment horizontal="right"/>
      <protection hidden="1"/>
    </xf>
    <xf numFmtId="0" fontId="1" fillId="3" borderId="0" xfId="0" applyFont="1" applyFill="1" applyProtection="1">
      <protection hidden="1"/>
    </xf>
    <xf numFmtId="0" fontId="39" fillId="3" borderId="0" xfId="0" applyFont="1" applyFill="1" applyAlignment="1" applyProtection="1">
      <alignment vertical="top" wrapText="1"/>
      <protection hidden="1"/>
    </xf>
    <xf numFmtId="0" fontId="39" fillId="0" borderId="0" xfId="0" applyFont="1" applyAlignment="1" applyProtection="1">
      <alignment vertical="top" wrapText="1"/>
      <protection hidden="1"/>
    </xf>
    <xf numFmtId="0" fontId="7" fillId="3" borderId="0" xfId="0" applyFont="1" applyFill="1" applyProtection="1">
      <protection hidden="1"/>
    </xf>
    <xf numFmtId="0" fontId="0" fillId="0" borderId="0" xfId="0" applyProtection="1">
      <protection hidden="1"/>
    </xf>
  </cellXfs>
  <cellStyles count="3">
    <cellStyle name="Hiperlink" xfId="2" builtinId="8"/>
    <cellStyle name="Normal" xfId="0" builtinId="0"/>
    <cellStyle name="Porcentagem" xfId="1" builtinId="5"/>
  </cellStyles>
  <dxfs count="46">
    <dxf>
      <font>
        <condense val="0"/>
        <extend val="0"/>
        <color indexed="10"/>
      </font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10"/>
      </font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9"/>
        </bottom>
      </border>
    </dxf>
    <dxf>
      <border>
        <left/>
        <right/>
        <top style="thin">
          <color indexed="64"/>
        </top>
        <bottom style="thin">
          <color indexed="46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C0C0C0"/>
      <rgbColor rgb="00F8F8F8"/>
      <rgbColor rgb="0000FFFF"/>
      <rgbColor rgb="00FFA3A3"/>
      <rgbColor rgb="00008000"/>
      <rgbColor rgb="00FEF8EC"/>
      <rgbColor rgb="00F0F6DE"/>
      <rgbColor rgb="00800000"/>
      <rgbColor rgb="00EFF7FF"/>
      <rgbColor rgb="00DBDBDB"/>
      <rgbColor rgb="00A1A1A1"/>
      <rgbColor rgb="00C0C0C0"/>
      <rgbColor rgb="00993366"/>
      <rgbColor rgb="00FFFFCC"/>
      <rgbColor rgb="00CCFFFF"/>
      <rgbColor rgb="00660066"/>
      <rgbColor rgb="00FF8080"/>
      <rgbColor rgb="000066CC"/>
      <rgbColor rgb="00CCCCFF"/>
      <rgbColor rgb="00E1E1FF"/>
      <rgbColor rgb="00E1E9FF"/>
      <rgbColor rgb="00E5F1FF"/>
      <rgbColor rgb="0000FFFF"/>
      <rgbColor rgb="00800080"/>
      <rgbColor rgb="00EAEAEA"/>
      <rgbColor rgb="00990000"/>
      <rgbColor rgb="000000FF"/>
      <rgbColor rgb="0000CCFF"/>
      <rgbColor rgb="00CCFFFF"/>
      <rgbColor rgb="00E5FFF2"/>
      <rgbColor rgb="00FFFF99"/>
      <rgbColor rgb="00F3FAFF"/>
      <rgbColor rgb="00FF99CC"/>
      <rgbColor rgb="00F4F4F4"/>
      <rgbColor rgb="00FBE3C7"/>
      <rgbColor rgb="003366FF"/>
      <rgbColor rgb="0033CCCC"/>
      <rgbColor rgb="0099CC00"/>
      <rgbColor rgb="00EDCDAF"/>
      <rgbColor rgb="00FF9900"/>
      <rgbColor rgb="00FF6600"/>
      <rgbColor rgb="00B2A9E7"/>
      <rgbColor rgb="00B8B8B8"/>
      <rgbColor rgb="00003366"/>
      <rgbColor rgb="00339966"/>
      <rgbColor rgb="00003300"/>
      <rgbColor rgb="00333300"/>
      <rgbColor rgb="00FEB7B0"/>
      <rgbColor rgb="00DF9DBE"/>
      <rgbColor rgb="00333399"/>
      <rgbColor rgb="00333333"/>
    </indexedColors>
    <mruColors>
      <color rgb="FF68633A"/>
      <color rgb="FFBEB68C"/>
      <color rgb="FFD6D0B4"/>
      <color rgb="FFDAD5BC"/>
      <color rgb="FFD2CCAE"/>
      <color rgb="FFC9C29F"/>
      <color rgb="FFD7D2B7"/>
      <color rgb="FFE3E0CF"/>
      <color rgb="FFD6D1B8"/>
      <color rgb="FFF6F5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usernames" Target="revisions/userName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566054243219598E-2"/>
          <c:w val="0.82332166812481777"/>
          <c:h val="0.87724198158857603"/>
        </c:manualLayout>
      </c:layout>
      <c:scatterChart>
        <c:scatterStyle val="smoothMarker"/>
        <c:varyColors val="0"/>
        <c:ser>
          <c:idx val="0"/>
          <c:order val="0"/>
          <c:spPr>
            <a:ln w="22225"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dLbls>
            <c:dLbl>
              <c:idx val="0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dLblPos val="b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564-4B33-B0BC-7D90627AFC1D}"/>
                </c:ext>
              </c:extLst>
            </c:dLbl>
            <c:dLbl>
              <c:idx val="1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564-4B33-B0BC-7D90627AFC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'Estaca armada'!$DB$52:$DB$54</c:f>
              <c:numCache>
                <c:formatCode>0.000</c:formatCode>
                <c:ptCount val="3"/>
                <c:pt idx="0" formatCode="General">
                  <c:v>0.31192861058019472</c:v>
                </c:pt>
                <c:pt idx="1">
                  <c:v>5.8001122404859933</c:v>
                </c:pt>
                <c:pt idx="2" formatCode="General">
                  <c:v>0</c:v>
                </c:pt>
              </c:numCache>
            </c:numRef>
          </c:xVal>
          <c:yVal>
            <c:numRef>
              <c:f>'Estaca armada'!$DA$52:$DA$54</c:f>
              <c:numCache>
                <c:formatCode>General</c:formatCode>
                <c:ptCount val="3"/>
                <c:pt idx="0">
                  <c:v>0</c:v>
                </c:pt>
                <c:pt idx="1">
                  <c:v>7.6266468861912138</c:v>
                </c:pt>
                <c:pt idx="2" formatCode="0.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564-4B33-B0BC-7D90627AF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112960"/>
        <c:axId val="265113536"/>
      </c:scatterChart>
      <c:valAx>
        <c:axId val="265112960"/>
        <c:scaling>
          <c:orientation val="minMax"/>
        </c:scaling>
        <c:delete val="0"/>
        <c:axPos val="t"/>
        <c:majorGridlines>
          <c:spPr>
            <a:ln w="3175">
              <a:solidFill>
                <a:schemeClr val="bg2">
                  <a:lumMod val="2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 sz="800">
                    <a:latin typeface="Arial" pitchFamily="34" charset="0"/>
                    <a:cs typeface="Arial" pitchFamily="34" charset="0"/>
                  </a:rPr>
                  <a:t>Deslocamento (cm)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pt-BR"/>
          </a:p>
        </c:txPr>
        <c:crossAx val="265113536"/>
        <c:crossesAt val="0"/>
        <c:crossBetween val="midCat"/>
        <c:majorUnit val="1"/>
      </c:valAx>
      <c:valAx>
        <c:axId val="265113536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65112960"/>
        <c:crosses val="autoZero"/>
        <c:crossBetween val="midCat"/>
      </c:valAx>
      <c:spPr>
        <a:solidFill>
          <a:schemeClr val="bg2">
            <a:lumMod val="90000"/>
          </a:schemeClr>
        </a:solidFill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pt-BR" sz="800"/>
              <a:t>Deslocamento</a:t>
            </a:r>
            <a:r>
              <a:rPr lang="pt-BR" sz="800" baseline="0"/>
              <a:t> </a:t>
            </a:r>
          </a:p>
          <a:p>
            <a:pPr>
              <a:defRPr sz="1600"/>
            </a:pPr>
            <a:r>
              <a:rPr lang="pt-BR" sz="800"/>
              <a:t>Linha</a:t>
            </a:r>
            <a:r>
              <a:rPr lang="pt-BR" sz="800" baseline="0"/>
              <a:t> de tendência</a:t>
            </a:r>
            <a:endParaRPr lang="pt-BR" sz="1600"/>
          </a:p>
        </c:rich>
      </c:tx>
      <c:layout>
        <c:manualLayout>
          <c:xMode val="edge"/>
          <c:yMode val="edge"/>
          <c:x val="0.17380890424364775"/>
          <c:y val="3.06306306306306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5958724337540002E-2"/>
          <c:y val="8.566054243219598E-2"/>
          <c:w val="0.82332166812481777"/>
          <c:h val="0.87724198158857603"/>
        </c:manualLayout>
      </c:layout>
      <c:scatterChart>
        <c:scatterStyle val="lineMarker"/>
        <c:varyColors val="0"/>
        <c:ser>
          <c:idx val="0"/>
          <c:order val="0"/>
          <c:marker>
            <c:symbol val="circle"/>
            <c:size val="4"/>
            <c:spPr>
              <a:solidFill>
                <a:schemeClr val="tx1"/>
              </a:solidFill>
            </c:spPr>
          </c:marker>
          <c:dLbls>
            <c:dLbl>
              <c:idx val="0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CFC2-4F84-A736-3A2EAE7BC516}"/>
                </c:ext>
              </c:extLst>
            </c:dLbl>
            <c:dLbl>
              <c:idx val="1"/>
              <c:numFmt formatCode="#,##0.00" sourceLinked="0"/>
              <c:spPr/>
              <c:txPr>
                <a:bodyPr/>
                <a:lstStyle/>
                <a:p>
                  <a:pPr>
                    <a:defRPr sz="70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CFC2-4F84-A736-3A2EAE7BC5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trendlineType val="log"/>
            <c:dispRSqr val="0"/>
            <c:dispEq val="0"/>
          </c:trendline>
          <c:trendline>
            <c:trendlineType val="log"/>
            <c:dispRSqr val="0"/>
            <c:dispEq val="0"/>
          </c:trendline>
          <c:trendline>
            <c:spPr>
              <a:ln w="19050"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xVal>
            <c:numRef>
              <c:f>'Estaca armada'!$DB$52:$DB$54</c:f>
              <c:numCache>
                <c:formatCode>0.000</c:formatCode>
                <c:ptCount val="3"/>
                <c:pt idx="0" formatCode="General">
                  <c:v>0.31192861058019472</c:v>
                </c:pt>
                <c:pt idx="1">
                  <c:v>5.8001122404859933</c:v>
                </c:pt>
                <c:pt idx="2" formatCode="General">
                  <c:v>0</c:v>
                </c:pt>
              </c:numCache>
            </c:numRef>
          </c:xVal>
          <c:yVal>
            <c:numRef>
              <c:f>'Estaca armada'!$DA$52:$DA$54</c:f>
              <c:numCache>
                <c:formatCode>General</c:formatCode>
                <c:ptCount val="3"/>
                <c:pt idx="0">
                  <c:v>0</c:v>
                </c:pt>
                <c:pt idx="1">
                  <c:v>7.6266468861912138</c:v>
                </c:pt>
                <c:pt idx="2" formatCode="0.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C2-4F84-A736-3A2EAE7BC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115840"/>
        <c:axId val="265116416"/>
      </c:scatterChart>
      <c:valAx>
        <c:axId val="265115840"/>
        <c:scaling>
          <c:orientation val="minMax"/>
        </c:scaling>
        <c:delete val="0"/>
        <c:axPos val="t"/>
        <c:majorGridlines>
          <c:spPr>
            <a:ln w="3175">
              <a:solidFill>
                <a:schemeClr val="bg2">
                  <a:lumMod val="2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pt-BR"/>
          </a:p>
        </c:txPr>
        <c:crossAx val="265116416"/>
        <c:crosses val="autoZero"/>
        <c:crossBetween val="midCat"/>
      </c:valAx>
      <c:valAx>
        <c:axId val="265116416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65115840"/>
        <c:crosses val="autoZero"/>
        <c:crossBetween val="midCat"/>
        <c:majorUnit val="1"/>
      </c:valAx>
      <c:spPr>
        <a:solidFill>
          <a:srgbClr val="D7D2B7"/>
        </a:solidFill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566054243219598E-2"/>
          <c:w val="0.9004799656015694"/>
          <c:h val="0.87724198158857603"/>
        </c:manualLayout>
      </c:layout>
      <c:scatterChart>
        <c:scatterStyle val="smoothMarker"/>
        <c:varyColors val="0"/>
        <c:ser>
          <c:idx val="0"/>
          <c:order val="0"/>
          <c:spPr>
            <a:ln w="22225">
              <a:solidFill>
                <a:schemeClr val="accent3">
                  <a:lumMod val="50000"/>
                </a:schemeClr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dLbls>
            <c:dLbl>
              <c:idx val="1"/>
              <c:dLblPos val="b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E72-45F2-B1B9-2F073B8502A7}"/>
                </c:ext>
              </c:extLst>
            </c:dLbl>
            <c:dLbl>
              <c:idx val="2"/>
              <c:dLblPos val="b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72-45F2-B1B9-2F073B8502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'Estaca armada'!$CS$53:$CV$53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3.2143162021487131</c:v>
                </c:pt>
                <c:pt idx="2">
                  <c:v>0.99363937649691658</c:v>
                </c:pt>
                <c:pt idx="3" formatCode="General">
                  <c:v>0</c:v>
                </c:pt>
              </c:numCache>
            </c:numRef>
          </c:xVal>
          <c:yVal>
            <c:numRef>
              <c:f>'Estaca armada'!$CS$54:$CV$54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1.3346632050834621</c:v>
                </c:pt>
                <c:pt idx="2">
                  <c:v>7.6266468861912138</c:v>
                </c:pt>
                <c:pt idx="3" formatCode="General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72-45F2-B1B9-2F073B850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877248"/>
        <c:axId val="279878400"/>
      </c:scatterChart>
      <c:valAx>
        <c:axId val="279877248"/>
        <c:scaling>
          <c:orientation val="minMax"/>
        </c:scaling>
        <c:delete val="0"/>
        <c:axPos val="t"/>
        <c:majorGridlines>
          <c:spPr>
            <a:ln w="3175">
              <a:solidFill>
                <a:schemeClr val="bg2">
                  <a:lumMod val="50000"/>
                </a:schemeClr>
              </a:solidFill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pt-BR" sz="800">
                    <a:latin typeface="Arial" pitchFamily="34" charset="0"/>
                    <a:cs typeface="Arial" pitchFamily="34" charset="0"/>
                  </a:rPr>
                  <a:t>Momento</a:t>
                </a:r>
                <a:r>
                  <a:rPr lang="pt-BR" sz="800" baseline="0">
                    <a:latin typeface="Arial" pitchFamily="34" charset="0"/>
                    <a:cs typeface="Arial" pitchFamily="34" charset="0"/>
                  </a:rPr>
                  <a:t> máximo  (ton.m)</a:t>
                </a:r>
                <a:endParaRPr lang="pt-BR" sz="800">
                  <a:latin typeface="Arial" pitchFamily="34" charset="0"/>
                  <a:cs typeface="Arial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pt-BR"/>
          </a:p>
        </c:txPr>
        <c:crossAx val="279878400"/>
        <c:crossesAt val="0"/>
        <c:crossBetween val="midCat"/>
      </c:valAx>
      <c:valAx>
        <c:axId val="279878400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minorGridlines>
          <c:spPr>
            <a:ln>
              <a:solidFill>
                <a:schemeClr val="bg2">
                  <a:lumMod val="10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22225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9877248"/>
        <c:crosses val="autoZero"/>
        <c:crossBetween val="midCat"/>
      </c:valAx>
      <c:spPr>
        <a:solidFill>
          <a:schemeClr val="bg2">
            <a:lumMod val="75000"/>
          </a:schemeClr>
        </a:solidFill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9184848478541537E-2"/>
          <c:w val="0.82332166812481777"/>
          <c:h val="0.87195550477205352"/>
        </c:manualLayout>
      </c:layout>
      <c:scatterChart>
        <c:scatterStyle val="smoothMarker"/>
        <c:varyColors val="0"/>
        <c:ser>
          <c:idx val="0"/>
          <c:order val="0"/>
          <c:spPr>
            <a:ln w="31750" cmpd="sng">
              <a:solidFill>
                <a:srgbClr val="C00000"/>
              </a:solidFill>
              <a:prstDash val="sysDash"/>
              <a:round/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xVal>
            <c:numRef>
              <c:f>'Estaca armada'!$DE$52:$DE$54</c:f>
              <c:numCache>
                <c:formatCode>General</c:formatCode>
                <c:ptCount val="3"/>
                <c:pt idx="0">
                  <c:v>0.31192861058019472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'Estaca armada'!$DD$52:$DD$54</c:f>
              <c:numCache>
                <c:formatCode>0.00</c:formatCode>
                <c:ptCount val="3"/>
                <c:pt idx="0" formatCode="General">
                  <c:v>0</c:v>
                </c:pt>
                <c:pt idx="1">
                  <c:v>1.3346632050834621</c:v>
                </c:pt>
                <c:pt idx="2" formatCode="General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F0-47E1-BDFF-FA86AF427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4144"/>
        <c:axId val="270574720"/>
      </c:scatterChart>
      <c:valAx>
        <c:axId val="2705741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70574720"/>
        <c:crossesAt val="0"/>
        <c:crossBetween val="midCat"/>
        <c:majorUnit val="1"/>
      </c:valAx>
      <c:valAx>
        <c:axId val="270574720"/>
        <c:scaling>
          <c:orientation val="maxMin"/>
          <c:max val="10"/>
        </c:scaling>
        <c:delete val="1"/>
        <c:axPos val="l"/>
        <c:majorGridlines>
          <c:spPr>
            <a:ln w="15875" cmpd="sng">
              <a:noFill/>
            </a:ln>
            <a:effectLst/>
          </c:spPr>
        </c:majorGridlines>
        <c:numFmt formatCode="General" sourceLinked="0"/>
        <c:majorTickMark val="out"/>
        <c:minorTickMark val="none"/>
        <c:tickLblPos val="nextTo"/>
        <c:crossAx val="2705741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853791283454"/>
          <c:y val="4.7941586956397261E-2"/>
          <c:w val="0.8952146208716546"/>
          <c:h val="0.930811415834604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'Estaca armada'!$AO$10:$AR$10</c:f>
              <c:strCache>
                <c:ptCount val="4"/>
                <c:pt idx="0">
                  <c:v>Prof do momento</c:v>
                </c:pt>
              </c:strCache>
            </c:strRef>
          </c:tx>
          <c:spPr>
            <a:solidFill>
              <a:schemeClr val="bg2">
                <a:lumMod val="50000"/>
                <a:alpha val="54000"/>
              </a:schemeClr>
            </a:solidFill>
            <a:ln w="635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50000"/>
                  <a:alpha val="54000"/>
                </a:schemeClr>
              </a:solidFill>
              <a:ln w="6350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026-4AC4-8D12-051144336B80}"/>
              </c:ext>
            </c:extLst>
          </c:dPt>
          <c:dLbls>
            <c:dLbl>
              <c:idx val="0"/>
              <c:spPr/>
              <c:txPr>
                <a:bodyPr rot="-5400000" vert="horz" anchor="ctr" anchorCtr="1"/>
                <a:lstStyle/>
                <a:p>
                  <a:pPr>
                    <a:defRPr sz="800" b="0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dLblPos val="ctr"/>
              <c:showLegendKey val="0"/>
              <c:showVal val="0"/>
              <c:showCatName val="1"/>
              <c:showSerName val="1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026-4AC4-8D12-051144336B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'Estaca armada'!$AS$10:$AT$10</c:f>
              <c:numCache>
                <c:formatCode>0.00</c:formatCode>
                <c:ptCount val="2"/>
                <c:pt idx="0">
                  <c:v>6.1013175089529712</c:v>
                </c:pt>
              </c:numCache>
            </c:numRef>
          </c:cat>
          <c:val>
            <c:numRef>
              <c:f>'Estaca armada'!$CN$52</c:f>
              <c:numCache>
                <c:formatCode>General</c:formatCode>
                <c:ptCount val="1"/>
                <c:pt idx="0">
                  <c:v>7.6266468861912138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26-4AC4-8D12-051144336B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1"/>
        <c:axId val="270086144"/>
        <c:axId val="270576448"/>
      </c:barChart>
      <c:catAx>
        <c:axId val="270086144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270576448"/>
        <c:crosses val="autoZero"/>
        <c:auto val="1"/>
        <c:lblAlgn val="ctr"/>
        <c:lblOffset val="100"/>
        <c:noMultiLvlLbl val="0"/>
      </c:catAx>
      <c:valAx>
        <c:axId val="270576448"/>
        <c:scaling>
          <c:orientation val="maxMin"/>
          <c:max val="10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crossAx val="2700861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8804988082992"/>
          <c:y val="9.9212155442594999E-2"/>
          <c:w val="0.7502021595204913"/>
          <c:h val="0.8389031750777987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</c:spPr>
          <c:invertIfNegative val="0"/>
          <c:val>
            <c:numRef>
              <c:f>'Estaca armada'!$S$24:$S$34</c:f>
              <c:numCache>
                <c:formatCode>0.00</c:formatCode>
                <c:ptCount val="11"/>
                <c:pt idx="0">
                  <c:v>0</c:v>
                </c:pt>
                <c:pt idx="1">
                  <c:v>5.026548245743669</c:v>
                </c:pt>
                <c:pt idx="3">
                  <c:v>3.9040623383474222</c:v>
                </c:pt>
                <c:pt idx="4">
                  <c:v>2.1666666666666665</c:v>
                </c:pt>
                <c:pt idx="6">
                  <c:v>7.6358154774751794</c:v>
                </c:pt>
                <c:pt idx="7">
                  <c:v>1.8849555921538761</c:v>
                </c:pt>
                <c:pt idx="9">
                  <c:v>2.0532151839024597</c:v>
                </c:pt>
                <c:pt idx="10">
                  <c:v>3.9597979736000006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8-436E-9613-385168EC5F4A}"/>
            </c:ext>
          </c:extLst>
        </c:ser>
        <c:ser>
          <c:idx val="1"/>
          <c:order val="1"/>
          <c:invertIfNegative val="0"/>
          <c:val>
            <c:numRef>
              <c:f>'Estaca armada'!$T$24:$T$34</c:f>
              <c:numCache>
                <c:formatCode>0.00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6FF8-436E-9613-385168EC5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0087680"/>
        <c:axId val="270578176"/>
      </c:barChart>
      <c:catAx>
        <c:axId val="270087680"/>
        <c:scaling>
          <c:orientation val="maxMin"/>
        </c:scaling>
        <c:delete val="1"/>
        <c:axPos val="l"/>
        <c:majorTickMark val="out"/>
        <c:minorTickMark val="none"/>
        <c:tickLblPos val="nextTo"/>
        <c:crossAx val="270578176"/>
        <c:crosses val="autoZero"/>
        <c:auto val="1"/>
        <c:lblAlgn val="ctr"/>
        <c:lblOffset val="100"/>
        <c:noMultiLvlLbl val="0"/>
      </c:catAx>
      <c:valAx>
        <c:axId val="270578176"/>
        <c:scaling>
          <c:orientation val="minMax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600"/>
            </a:pPr>
            <a:endParaRPr lang="pt-BR"/>
          </a:p>
        </c:txPr>
        <c:crossAx val="270087680"/>
        <c:crosses val="autoZero"/>
        <c:crossBetween val="between"/>
      </c:valAx>
      <c:spPr>
        <a:solidFill>
          <a:schemeClr val="bg2">
            <a:lumMod val="75000"/>
          </a:schemeClr>
        </a:solidFill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958724337540002E-2"/>
          <c:y val="8.566054243219598E-2"/>
          <c:w val="0.9004799656015694"/>
          <c:h val="0.87724198158857603"/>
        </c:manualLayout>
      </c:layout>
      <c:scatterChart>
        <c:scatterStyle val="lineMarker"/>
        <c:varyColors val="0"/>
        <c:ser>
          <c:idx val="0"/>
          <c:order val="0"/>
          <c:spPr>
            <a:ln w="3175">
              <a:solidFill>
                <a:srgbClr val="FF0000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xVal>
            <c:numRef>
              <c:f>'Estaca armada'!$CS$53:$CV$53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3.2143162021487131</c:v>
                </c:pt>
                <c:pt idx="2">
                  <c:v>0.99363937649691658</c:v>
                </c:pt>
                <c:pt idx="3" formatCode="General">
                  <c:v>0</c:v>
                </c:pt>
              </c:numCache>
            </c:numRef>
          </c:xVal>
          <c:yVal>
            <c:numRef>
              <c:f>'Estaca armada'!$CS$54:$CV$54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1.3346632050834621</c:v>
                </c:pt>
                <c:pt idx="2">
                  <c:v>7.6266468861912138</c:v>
                </c:pt>
                <c:pt idx="3" formatCode="General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90-4936-A61E-F90395FEE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0579904"/>
        <c:axId val="270580480"/>
      </c:scatterChart>
      <c:valAx>
        <c:axId val="270579904"/>
        <c:scaling>
          <c:orientation val="minMax"/>
        </c:scaling>
        <c:delete val="1"/>
        <c:axPos val="t"/>
        <c:majorGridlines>
          <c:spPr>
            <a:ln w="3175">
              <a:solidFill>
                <a:schemeClr val="bg2">
                  <a:lumMod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70580480"/>
        <c:crossesAt val="0"/>
        <c:crossBetween val="midCat"/>
      </c:valAx>
      <c:valAx>
        <c:axId val="270580480"/>
        <c:scaling>
          <c:orientation val="maxMin"/>
          <c:max val="10"/>
        </c:scaling>
        <c:delete val="0"/>
        <c:axPos val="l"/>
        <c:majorGridlines>
          <c:spPr>
            <a:ln w="15875" cmpd="sng">
              <a:solidFill>
                <a:schemeClr val="tx1"/>
              </a:solidFill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 algn="ctr">
              <a:defRPr lang="pt-BR" sz="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057990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363746417715706E-2"/>
          <c:y val="4.7941586956397261E-2"/>
          <c:w val="0.97523435466422381"/>
          <c:h val="0.930811450381109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'Estaca armada'!$AM$11:$AR$11</c:f>
              <c:strCache>
                <c:ptCount val="6"/>
                <c:pt idx="0">
                  <c:v>Prof. momento máx.</c:v>
                </c:pt>
              </c:strCache>
            </c:strRef>
          </c:tx>
          <c:spPr>
            <a:noFill/>
            <a:ln w="19050">
              <a:solidFill>
                <a:schemeClr val="tx1"/>
              </a:solidFill>
              <a:prstDash val="sysDash"/>
            </a:ln>
          </c:spPr>
          <c:invertIfNegative val="0"/>
          <c:dPt>
            <c:idx val="0"/>
            <c:invertIfNegative val="0"/>
            <c:bubble3D val="0"/>
            <c:spPr>
              <a:noFill/>
              <a:ln w="19050">
                <a:solidFill>
                  <a:schemeClr val="tx1"/>
                </a:solidFill>
                <a:prstDash val="sysDot"/>
              </a:ln>
            </c:spPr>
            <c:extLst>
              <c:ext xmlns:c16="http://schemas.microsoft.com/office/drawing/2014/chart" uri="{C3380CC4-5D6E-409C-BE32-E72D297353CC}">
                <c16:uniqueId val="{00000001-79D8-4FCD-8412-5D3313239763}"/>
              </c:ext>
            </c:extLst>
          </c:dPt>
          <c:dLbls>
            <c:dLbl>
              <c:idx val="0"/>
              <c:layout>
                <c:manualLayout>
                  <c:x val="-0.44700421290737624"/>
                  <c:y val="3.1296594294206247E-2"/>
                </c:manualLayout>
              </c:layout>
              <c:numFmt formatCode="#,##0.00" sourceLinked="0"/>
              <c:spPr/>
              <c:txPr>
                <a:bodyPr rot="0" vert="horz" anchor="b" anchorCtr="1"/>
                <a:lstStyle/>
                <a:p>
                  <a:pPr>
                    <a:defRPr sz="800" b="1">
                      <a:latin typeface="Arial" pitchFamily="34" charset="0"/>
                      <a:cs typeface="Arial" pitchFamily="34" charset="0"/>
                    </a:defRPr>
                  </a:pPr>
                  <a:endParaRPr lang="pt-BR"/>
                </a:p>
              </c:txPr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8-4FCD-8412-5D3313239763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anchor="b" anchorCtr="1"/>
              <a:lstStyle/>
              <a:p>
                <a:pPr>
                  <a:defRPr sz="800" b="1">
                    <a:latin typeface="Arial" pitchFamily="34" charset="0"/>
                    <a:cs typeface="Arial" pitchFamily="34" charset="0"/>
                  </a:defRPr>
                </a:pPr>
                <a:endParaRPr lang="pt-BR"/>
              </a:p>
            </c:txPr>
            <c:dLblPos val="inBase"/>
            <c:showLegendKey val="0"/>
            <c:showVal val="0"/>
            <c:showCatName val="1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'Estaca armada'!$AS$11:$AT$11</c:f>
              <c:numCache>
                <c:formatCode>General</c:formatCode>
                <c:ptCount val="2"/>
                <c:pt idx="0" formatCode="0.00">
                  <c:v>1.0677305640667698</c:v>
                </c:pt>
              </c:numCache>
            </c:numRef>
          </c:cat>
          <c:val>
            <c:numRef>
              <c:f>'Estaca armada'!$CT$54</c:f>
              <c:numCache>
                <c:formatCode>0.00</c:formatCode>
                <c:ptCount val="1"/>
                <c:pt idx="0">
                  <c:v>1.3346632050834621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D8-4FCD-8412-5D3313239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70088192"/>
        <c:axId val="270385728"/>
      </c:barChart>
      <c:catAx>
        <c:axId val="270088192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270385728"/>
        <c:crosses val="autoZero"/>
        <c:auto val="1"/>
        <c:lblAlgn val="ctr"/>
        <c:lblOffset val="100"/>
        <c:noMultiLvlLbl val="0"/>
      </c:catAx>
      <c:valAx>
        <c:axId val="270385728"/>
        <c:scaling>
          <c:orientation val="maxMin"/>
          <c:max val="10"/>
          <c:min val="0"/>
        </c:scaling>
        <c:delete val="1"/>
        <c:axPos val="l"/>
        <c:majorGridlines>
          <c:spPr>
            <a:ln>
              <a:noFill/>
            </a:ln>
          </c:spPr>
        </c:majorGridlines>
        <c:numFmt formatCode="0.00" sourceLinked="1"/>
        <c:majorTickMark val="out"/>
        <c:minorTickMark val="none"/>
        <c:tickLblPos val="nextTo"/>
        <c:crossAx val="27008819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hyperlink" Target="http://www.sitengenharia.com.br/" TargetMode="Externa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228600</xdr:colOff>
      <xdr:row>12</xdr:row>
      <xdr:rowOff>85726</xdr:rowOff>
    </xdr:from>
    <xdr:to>
      <xdr:col>37</xdr:col>
      <xdr:colOff>66675</xdr:colOff>
      <xdr:row>53</xdr:row>
      <xdr:rowOff>104776</xdr:rowOff>
    </xdr:to>
    <xdr:graphicFrame macro="">
      <xdr:nvGraphicFramePr>
        <xdr:cNvPr id="140" name="Gráfico 139" title="Momeno máximo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142875</xdr:colOff>
      <xdr:row>12</xdr:row>
      <xdr:rowOff>95250</xdr:rowOff>
    </xdr:from>
    <xdr:to>
      <xdr:col>41</xdr:col>
      <xdr:colOff>200026</xdr:colOff>
      <xdr:row>53</xdr:row>
      <xdr:rowOff>114300</xdr:rowOff>
    </xdr:to>
    <xdr:graphicFrame macro="">
      <xdr:nvGraphicFramePr>
        <xdr:cNvPr id="128" name="Gráfico 127" title="Momeno máximo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19050</xdr:colOff>
      <xdr:row>16</xdr:row>
      <xdr:rowOff>0</xdr:rowOff>
    </xdr:from>
    <xdr:to>
      <xdr:col>47</xdr:col>
      <xdr:colOff>161925</xdr:colOff>
      <xdr:row>16</xdr:row>
      <xdr:rowOff>0</xdr:rowOff>
    </xdr:to>
    <xdr:cxnSp macro="">
      <xdr:nvCxnSpPr>
        <xdr:cNvPr id="9" name="Conector re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 bwMode="auto">
        <a:xfrm>
          <a:off x="7219950" y="2724150"/>
          <a:ext cx="5343525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222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0</xdr:colOff>
      <xdr:row>15</xdr:row>
      <xdr:rowOff>142875</xdr:rowOff>
    </xdr:from>
    <xdr:to>
      <xdr:col>12</xdr:col>
      <xdr:colOff>19050</xdr:colOff>
      <xdr:row>51</xdr:row>
      <xdr:rowOff>95250</xdr:rowOff>
    </xdr:to>
    <xdr:sp macro="" textlink="">
      <xdr:nvSpPr>
        <xdr:cNvPr id="8194" name="Rectangle 2050" descr="Papel reciclado">
          <a:extLst>
            <a:ext uri="{FF2B5EF4-FFF2-40B4-BE49-F238E27FC236}">
              <a16:creationId xmlns:a16="http://schemas.microsoft.com/office/drawing/2014/main" id="{00000000-0008-0000-0000-000002200000}"/>
            </a:ext>
          </a:extLst>
        </xdr:cNvPr>
        <xdr:cNvSpPr>
          <a:spLocks noChangeArrowheads="1"/>
        </xdr:cNvSpPr>
      </xdr:nvSpPr>
      <xdr:spPr bwMode="auto">
        <a:xfrm>
          <a:off x="0" y="2695575"/>
          <a:ext cx="3219450" cy="6124575"/>
        </a:xfrm>
        <a:prstGeom prst="rect">
          <a:avLst/>
        </a:prstGeom>
        <a:gradFill>
          <a:gsLst>
            <a:gs pos="47000">
              <a:schemeClr val="bg2">
                <a:lumMod val="75000"/>
              </a:schemeClr>
            </a:gs>
            <a:gs pos="90000">
              <a:schemeClr val="bg1"/>
            </a:gs>
            <a:gs pos="100000">
              <a:schemeClr val="bg2">
                <a:lumMod val="90000"/>
              </a:schemeClr>
            </a:gs>
          </a:gsLst>
          <a:lin ang="10800000" scaled="0"/>
        </a:gradFill>
        <a:ln w="3175">
          <a:miter lim="800000"/>
          <a:headEnd/>
          <a:tailEnd/>
        </a:ln>
        <a:effectLst/>
        <a:scene3d>
          <a:camera prst="legacyObliqueTopRight"/>
          <a:lightRig rig="legacyFlat3" dir="b"/>
        </a:scene3d>
        <a:sp3d extrusionH="684200" prstMaterial="legacyPlastic">
          <a:bevelT w="13500" h="13500" prst="angle"/>
          <a:bevelB w="13500" h="13500" prst="angle"/>
          <a:extrusionClr>
            <a:srgbClr val="FFFFFF"/>
          </a:extrusionClr>
        </a:sp3d>
      </xdr:spPr>
    </xdr:sp>
    <xdr:clientData/>
  </xdr:twoCellAnchor>
  <xdr:twoCellAnchor>
    <xdr:from>
      <xdr:col>0</xdr:col>
      <xdr:colOff>114300</xdr:colOff>
      <xdr:row>52</xdr:row>
      <xdr:rowOff>47625</xdr:rowOff>
    </xdr:from>
    <xdr:to>
      <xdr:col>24</xdr:col>
      <xdr:colOff>209550</xdr:colOff>
      <xdr:row>56</xdr:row>
      <xdr:rowOff>123825</xdr:rowOff>
    </xdr:to>
    <xdr:sp macro="" textlink="">
      <xdr:nvSpPr>
        <xdr:cNvPr id="1081" name="Rectangle 57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Arrowheads="1"/>
        </xdr:cNvSpPr>
      </xdr:nvSpPr>
      <xdr:spPr bwMode="auto">
        <a:xfrm>
          <a:off x="114300" y="8943975"/>
          <a:ext cx="6496050" cy="762000"/>
        </a:xfrm>
        <a:prstGeom prst="rect">
          <a:avLst/>
        </a:prstGeom>
        <a:solidFill>
          <a:schemeClr val="bg2">
            <a:lumMod val="75000"/>
          </a:schemeClr>
        </a:solidFill>
        <a:ln>
          <a:solidFill>
            <a:schemeClr val="bg2">
              <a:lumMod val="25000"/>
              <a:alpha val="49000"/>
            </a:schemeClr>
          </a:solidFill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900" b="1" i="0" u="none" strike="noStrike" baseline="0">
              <a:solidFill>
                <a:srgbClr val="000000"/>
              </a:solidFill>
              <a:latin typeface="Tahoma" pitchFamily="34" charset="0"/>
              <a:ea typeface="Tahoma" pitchFamily="34" charset="0"/>
              <a:cs typeface="Tahoma" pitchFamily="34" charset="0"/>
            </a:rPr>
            <a:t>Programa para cálculo de dimensionamento de estacas armadas</a:t>
          </a:r>
          <a:endParaRPr lang="pt-BR" sz="900" b="0" i="0" u="none" strike="noStrike" baseline="0">
            <a:solidFill>
              <a:srgbClr val="000000"/>
            </a:solidFill>
            <a:latin typeface="Tahoma" pitchFamily="34" charset="0"/>
            <a:ea typeface="Tahoma" pitchFamily="34" charset="0"/>
            <a:cs typeface="Tahoma" pitchFamily="34" charset="0"/>
          </a:endParaRPr>
        </a:p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Tahoma" pitchFamily="34" charset="0"/>
              <a:ea typeface="Tahoma" pitchFamily="34" charset="0"/>
              <a:cs typeface="Tahoma" pitchFamily="34" charset="0"/>
            </a:rPr>
            <a:t>A proteção inserida nas planilhas trabalham de forma a preservar fórmulas e resultados. O programa foi desenvolvido para que seja desconfigurado e desprogramado no caso de violação das senhas com qualquer tipo de modificação dentro da área protegida. O Site Engenharia e o autor do programa, Eng Célio Márcio Magalhães, não se responsabilizam por resultados errados resultantes de dados inseridos incorretamente.</a:t>
          </a:r>
        </a:p>
        <a:p>
          <a:pPr algn="ctr" rtl="0">
            <a:defRPr sz="1000"/>
          </a:pPr>
          <a:r>
            <a:rPr lang="pt-BR" sz="800" b="0" i="1" u="none" strike="noStrike" baseline="0">
              <a:solidFill>
                <a:srgbClr val="000000"/>
              </a:solidFill>
              <a:latin typeface="Tahoma" pitchFamily="34" charset="0"/>
              <a:ea typeface="Tahoma" pitchFamily="34" charset="0"/>
              <a:cs typeface="Tahoma" pitchFamily="34" charset="0"/>
            </a:rPr>
            <a:t>A proteção garante a integridade das normas e fórmulas          Informações     www.sitengenharia.com.br</a:t>
          </a:r>
        </a:p>
      </xdr:txBody>
    </xdr:sp>
    <xdr:clientData/>
  </xdr:twoCellAnchor>
  <xdr:twoCellAnchor>
    <xdr:from>
      <xdr:col>3</xdr:col>
      <xdr:colOff>190500</xdr:colOff>
      <xdr:row>28</xdr:row>
      <xdr:rowOff>0</xdr:rowOff>
    </xdr:from>
    <xdr:to>
      <xdr:col>5</xdr:col>
      <xdr:colOff>171450</xdr:colOff>
      <xdr:row>37</xdr:row>
      <xdr:rowOff>123825</xdr:rowOff>
    </xdr:to>
    <xdr:sp macro="" textlink="">
      <xdr:nvSpPr>
        <xdr:cNvPr id="8302" name="Rectangle 2158">
          <a:extLst>
            <a:ext uri="{FF2B5EF4-FFF2-40B4-BE49-F238E27FC236}">
              <a16:creationId xmlns:a16="http://schemas.microsoft.com/office/drawing/2014/main" id="{00000000-0008-0000-0000-00006E200000}"/>
            </a:ext>
          </a:extLst>
        </xdr:cNvPr>
        <xdr:cNvSpPr>
          <a:spLocks noChangeArrowheads="1"/>
        </xdr:cNvSpPr>
      </xdr:nvSpPr>
      <xdr:spPr bwMode="auto">
        <a:xfrm>
          <a:off x="990600" y="4781550"/>
          <a:ext cx="514350" cy="1666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chemeClr val="tx1"/>
              </a:solidFill>
              <a:latin typeface="Arial"/>
              <a:cs typeface="Arial"/>
            </a:rPr>
            <a:t>8- Altura da fundação</a:t>
          </a:r>
        </a:p>
      </xdr:txBody>
    </xdr:sp>
    <xdr:clientData/>
  </xdr:twoCellAnchor>
  <xdr:twoCellAnchor>
    <xdr:from>
      <xdr:col>1</xdr:col>
      <xdr:colOff>180975</xdr:colOff>
      <xdr:row>3</xdr:row>
      <xdr:rowOff>76200</xdr:rowOff>
    </xdr:from>
    <xdr:to>
      <xdr:col>4</xdr:col>
      <xdr:colOff>104775</xdr:colOff>
      <xdr:row>10</xdr:row>
      <xdr:rowOff>38100</xdr:rowOff>
    </xdr:to>
    <xdr:grpSp>
      <xdr:nvGrpSpPr>
        <xdr:cNvPr id="8505" name="Group 2361">
          <a:extLst>
            <a:ext uri="{FF2B5EF4-FFF2-40B4-BE49-F238E27FC236}">
              <a16:creationId xmlns:a16="http://schemas.microsoft.com/office/drawing/2014/main" id="{00000000-0008-0000-0000-000039210000}"/>
            </a:ext>
          </a:extLst>
        </xdr:cNvPr>
        <xdr:cNvGrpSpPr>
          <a:grpSpLocks/>
        </xdr:cNvGrpSpPr>
      </xdr:nvGrpSpPr>
      <xdr:grpSpPr bwMode="auto">
        <a:xfrm>
          <a:off x="455295" y="563880"/>
          <a:ext cx="746760" cy="1135380"/>
          <a:chOff x="47" y="60"/>
          <a:chExt cx="76" cy="122"/>
        </a:xfrm>
      </xdr:grpSpPr>
      <xdr:grpSp>
        <xdr:nvGrpSpPr>
          <xdr:cNvPr id="8457" name="Group 2313">
            <a:extLst>
              <a:ext uri="{FF2B5EF4-FFF2-40B4-BE49-F238E27FC236}">
                <a16:creationId xmlns:a16="http://schemas.microsoft.com/office/drawing/2014/main" id="{00000000-0008-0000-0000-000009210000}"/>
              </a:ext>
            </a:extLst>
          </xdr:cNvPr>
          <xdr:cNvGrpSpPr>
            <a:grpSpLocks/>
          </xdr:cNvGrpSpPr>
        </xdr:nvGrpSpPr>
        <xdr:grpSpPr bwMode="auto">
          <a:xfrm>
            <a:off x="47" y="76"/>
            <a:ext cx="76" cy="76"/>
            <a:chOff x="49" y="141"/>
            <a:chExt cx="76" cy="76"/>
          </a:xfrm>
        </xdr:grpSpPr>
        <xdr:sp macro="" textlink="">
          <xdr:nvSpPr>
            <xdr:cNvPr id="8271" name="Oval 2127">
              <a:extLst>
                <a:ext uri="{FF2B5EF4-FFF2-40B4-BE49-F238E27FC236}">
                  <a16:creationId xmlns:a16="http://schemas.microsoft.com/office/drawing/2014/main" id="{00000000-0008-0000-0000-00004F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9" y="141"/>
              <a:ext cx="76" cy="76"/>
            </a:xfrm>
            <a:prstGeom prst="ellipse">
              <a:avLst/>
            </a:prstGeom>
            <a:pattFill prst="dash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39" name="Oval 2295">
              <a:extLst>
                <a:ext uri="{FF2B5EF4-FFF2-40B4-BE49-F238E27FC236}">
                  <a16:creationId xmlns:a16="http://schemas.microsoft.com/office/drawing/2014/main" id="{00000000-0008-0000-0000-0000F7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4" y="153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0" name="Oval 2296">
              <a:extLst>
                <a:ext uri="{FF2B5EF4-FFF2-40B4-BE49-F238E27FC236}">
                  <a16:creationId xmlns:a16="http://schemas.microsoft.com/office/drawing/2014/main" id="{00000000-0008-0000-0000-0000F8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84" y="145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1" name="Oval 2297">
              <a:extLst>
                <a:ext uri="{FF2B5EF4-FFF2-40B4-BE49-F238E27FC236}">
                  <a16:creationId xmlns:a16="http://schemas.microsoft.com/office/drawing/2014/main" id="{00000000-0008-0000-0000-0000F9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5" y="153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2" name="Oval 2298">
              <a:extLst>
                <a:ext uri="{FF2B5EF4-FFF2-40B4-BE49-F238E27FC236}">
                  <a16:creationId xmlns:a16="http://schemas.microsoft.com/office/drawing/2014/main" id="{00000000-0008-0000-0000-0000FA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5" y="189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3" name="Oval 2299">
              <a:extLst>
                <a:ext uri="{FF2B5EF4-FFF2-40B4-BE49-F238E27FC236}">
                  <a16:creationId xmlns:a16="http://schemas.microsoft.com/office/drawing/2014/main" id="{00000000-0008-0000-0000-0000FB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16" y="172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4" name="Oval 2300">
              <a:extLst>
                <a:ext uri="{FF2B5EF4-FFF2-40B4-BE49-F238E27FC236}">
                  <a16:creationId xmlns:a16="http://schemas.microsoft.com/office/drawing/2014/main" id="{00000000-0008-0000-0000-0000FC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11" y="193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5" name="Oval 2301">
              <a:extLst>
                <a:ext uri="{FF2B5EF4-FFF2-40B4-BE49-F238E27FC236}">
                  <a16:creationId xmlns:a16="http://schemas.microsoft.com/office/drawing/2014/main" id="{00000000-0008-0000-0000-0000FD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4" y="170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7" name="Oval 2303">
              <a:extLst>
                <a:ext uri="{FF2B5EF4-FFF2-40B4-BE49-F238E27FC236}">
                  <a16:creationId xmlns:a16="http://schemas.microsoft.com/office/drawing/2014/main" id="{00000000-0008-0000-0000-0000FF2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" y="204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8" name="Oval 2304">
              <a:extLst>
                <a:ext uri="{FF2B5EF4-FFF2-40B4-BE49-F238E27FC236}">
                  <a16:creationId xmlns:a16="http://schemas.microsoft.com/office/drawing/2014/main" id="{00000000-0008-0000-0000-00000021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4" y="206"/>
              <a:ext cx="6" cy="6"/>
            </a:xfrm>
            <a:prstGeom prst="ellipse">
              <a:avLst/>
            </a:prstGeom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n w="3175">
              <a:solidFill>
                <a:schemeClr val="tx2"/>
              </a:solidFill>
              <a:round/>
              <a:headEnd/>
              <a:tailEnd/>
            </a:ln>
            <a:effectLst/>
            <a:extLs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sp macro="" textlink="">
          <xdr:nvSpPr>
            <xdr:cNvPr id="8449" name="Oval 2305">
              <a:extLst>
                <a:ext uri="{FF2B5EF4-FFF2-40B4-BE49-F238E27FC236}">
                  <a16:creationId xmlns:a16="http://schemas.microsoft.com/office/drawing/2014/main" id="{00000000-0008-0000-0000-00000121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3" y="145"/>
              <a:ext cx="68" cy="68"/>
            </a:xfrm>
            <a:prstGeom prst="ellipse">
              <a:avLst/>
            </a:prstGeom>
            <a:noFill/>
            <a:ln w="15875">
              <a:solidFill>
                <a:schemeClr val="tx2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DBDBDB" mc:Ignorable="a14" a14:legacySpreadsheetColorIndex="22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</xdr:grpSp>
      <xdr:cxnSp macro="">
        <xdr:nvCxnSpPr>
          <xdr:cNvPr id="8458" name="AutoShape 2314">
            <a:extLst>
              <a:ext uri="{FF2B5EF4-FFF2-40B4-BE49-F238E27FC236}">
                <a16:creationId xmlns:a16="http://schemas.microsoft.com/office/drawing/2014/main" id="{00000000-0008-0000-0000-00000A210000}"/>
              </a:ext>
            </a:extLst>
          </xdr:cNvPr>
          <xdr:cNvCxnSpPr>
            <a:cxnSpLocks noChangeShapeType="1"/>
            <a:stCxn id="8460" idx="1"/>
            <a:endCxn id="8459" idx="1"/>
          </xdr:cNvCxnSpPr>
        </xdr:nvCxnSpPr>
        <xdr:spPr bwMode="auto">
          <a:xfrm>
            <a:off x="47" y="182"/>
            <a:ext cx="76" cy="0"/>
          </a:xfrm>
          <a:prstGeom prst="straightConnector1">
            <a:avLst/>
          </a:prstGeom>
          <a:noFill/>
          <a:ln w="6350">
            <a:solidFill>
              <a:schemeClr val="tx2"/>
            </a:solidFill>
            <a:round/>
            <a:headEnd type="triangle" w="med" len="med"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459" name="Line 2315">
            <a:extLst>
              <a:ext uri="{FF2B5EF4-FFF2-40B4-BE49-F238E27FC236}">
                <a16:creationId xmlns:a16="http://schemas.microsoft.com/office/drawing/2014/main" id="{00000000-0008-0000-0000-00000B210000}"/>
              </a:ext>
            </a:extLst>
          </xdr:cNvPr>
          <xdr:cNvSpPr>
            <a:spLocks noChangeShapeType="1"/>
          </xdr:cNvSpPr>
        </xdr:nvSpPr>
        <xdr:spPr bwMode="auto">
          <a:xfrm>
            <a:off x="123" y="121"/>
            <a:ext cx="0" cy="61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60" name="Line 2316">
            <a:extLst>
              <a:ext uri="{FF2B5EF4-FFF2-40B4-BE49-F238E27FC236}">
                <a16:creationId xmlns:a16="http://schemas.microsoft.com/office/drawing/2014/main" id="{00000000-0008-0000-0000-00000C210000}"/>
              </a:ext>
            </a:extLst>
          </xdr:cNvPr>
          <xdr:cNvSpPr>
            <a:spLocks noChangeShapeType="1"/>
          </xdr:cNvSpPr>
        </xdr:nvSpPr>
        <xdr:spPr bwMode="auto">
          <a:xfrm>
            <a:off x="47" y="122"/>
            <a:ext cx="0" cy="60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68" name="Line 2324">
            <a:extLst>
              <a:ext uri="{FF2B5EF4-FFF2-40B4-BE49-F238E27FC236}">
                <a16:creationId xmlns:a16="http://schemas.microsoft.com/office/drawing/2014/main" id="{00000000-0008-0000-0000-000014210000}"/>
              </a:ext>
            </a:extLst>
          </xdr:cNvPr>
          <xdr:cNvSpPr>
            <a:spLocks noChangeShapeType="1"/>
          </xdr:cNvSpPr>
        </xdr:nvSpPr>
        <xdr:spPr bwMode="auto">
          <a:xfrm>
            <a:off x="81" y="80"/>
            <a:ext cx="42" cy="0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69" name="Line 2325">
            <a:extLst>
              <a:ext uri="{FF2B5EF4-FFF2-40B4-BE49-F238E27FC236}">
                <a16:creationId xmlns:a16="http://schemas.microsoft.com/office/drawing/2014/main" id="{00000000-0008-0000-0000-000015210000}"/>
              </a:ext>
            </a:extLst>
          </xdr:cNvPr>
          <xdr:cNvSpPr>
            <a:spLocks noChangeShapeType="1"/>
          </xdr:cNvSpPr>
        </xdr:nvSpPr>
        <xdr:spPr bwMode="auto">
          <a:xfrm>
            <a:off x="81" y="76"/>
            <a:ext cx="42" cy="0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71" name="Line 2327">
            <a:extLst>
              <a:ext uri="{FF2B5EF4-FFF2-40B4-BE49-F238E27FC236}">
                <a16:creationId xmlns:a16="http://schemas.microsoft.com/office/drawing/2014/main" id="{00000000-0008-0000-0000-000017210000}"/>
              </a:ext>
            </a:extLst>
          </xdr:cNvPr>
          <xdr:cNvSpPr>
            <a:spLocks noChangeShapeType="1"/>
          </xdr:cNvSpPr>
        </xdr:nvSpPr>
        <xdr:spPr bwMode="auto">
          <a:xfrm>
            <a:off x="123" y="60"/>
            <a:ext cx="0" cy="16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72" name="Line 2328">
            <a:extLst>
              <a:ext uri="{FF2B5EF4-FFF2-40B4-BE49-F238E27FC236}">
                <a16:creationId xmlns:a16="http://schemas.microsoft.com/office/drawing/2014/main" id="{00000000-0008-0000-0000-0000182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3" y="80"/>
            <a:ext cx="0" cy="17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cxnSp macro="">
        <xdr:nvCxnSpPr>
          <xdr:cNvPr id="8473" name="AutoShape 2329">
            <a:extLst>
              <a:ext uri="{FF2B5EF4-FFF2-40B4-BE49-F238E27FC236}">
                <a16:creationId xmlns:a16="http://schemas.microsoft.com/office/drawing/2014/main" id="{00000000-0008-0000-0000-000019210000}"/>
              </a:ext>
            </a:extLst>
          </xdr:cNvPr>
          <xdr:cNvCxnSpPr>
            <a:cxnSpLocks noChangeShapeType="1"/>
            <a:stCxn id="8475" idx="1"/>
            <a:endCxn id="8474" idx="1"/>
          </xdr:cNvCxnSpPr>
        </xdr:nvCxnSpPr>
        <xdr:spPr bwMode="auto">
          <a:xfrm>
            <a:off x="51" y="158"/>
            <a:ext cx="68" cy="0"/>
          </a:xfrm>
          <a:prstGeom prst="straightConnector1">
            <a:avLst/>
          </a:prstGeom>
          <a:noFill/>
          <a:ln w="6350">
            <a:solidFill>
              <a:schemeClr val="tx2"/>
            </a:solidFill>
            <a:round/>
            <a:headEnd type="triangle" w="med" len="med"/>
            <a:tailEnd type="triangle" w="med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cxnSp>
      <xdr:sp macro="" textlink="">
        <xdr:nvSpPr>
          <xdr:cNvPr id="8474" name="Line 2330">
            <a:extLst>
              <a:ext uri="{FF2B5EF4-FFF2-40B4-BE49-F238E27FC236}">
                <a16:creationId xmlns:a16="http://schemas.microsoft.com/office/drawing/2014/main" id="{00000000-0008-0000-0000-00001A210000}"/>
              </a:ext>
            </a:extLst>
          </xdr:cNvPr>
          <xdr:cNvSpPr>
            <a:spLocks noChangeShapeType="1"/>
          </xdr:cNvSpPr>
        </xdr:nvSpPr>
        <xdr:spPr bwMode="auto">
          <a:xfrm>
            <a:off x="119" y="115"/>
            <a:ext cx="0" cy="43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475" name="Line 2331">
            <a:extLst>
              <a:ext uri="{FF2B5EF4-FFF2-40B4-BE49-F238E27FC236}">
                <a16:creationId xmlns:a16="http://schemas.microsoft.com/office/drawing/2014/main" id="{00000000-0008-0000-0000-00001B210000}"/>
              </a:ext>
            </a:extLst>
          </xdr:cNvPr>
          <xdr:cNvSpPr>
            <a:spLocks noChangeShapeType="1"/>
          </xdr:cNvSpPr>
        </xdr:nvSpPr>
        <xdr:spPr bwMode="auto">
          <a:xfrm>
            <a:off x="51" y="115"/>
            <a:ext cx="0" cy="43"/>
          </a:xfrm>
          <a:prstGeom prst="line">
            <a:avLst/>
          </a:prstGeom>
          <a:noFill/>
          <a:ln w="3175">
            <a:solidFill>
              <a:schemeClr val="tx2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9</xdr:col>
      <xdr:colOff>9525</xdr:colOff>
      <xdr:row>15</xdr:row>
      <xdr:rowOff>133350</xdr:rowOff>
    </xdr:from>
    <xdr:to>
      <xdr:col>11</xdr:col>
      <xdr:colOff>133350</xdr:colOff>
      <xdr:row>50</xdr:row>
      <xdr:rowOff>114300</xdr:rowOff>
    </xdr:to>
    <xdr:sp macro="" textlink="">
      <xdr:nvSpPr>
        <xdr:cNvPr id="5110" name="Rectangle 2038">
          <a:extLst>
            <a:ext uri="{FF2B5EF4-FFF2-40B4-BE49-F238E27FC236}">
              <a16:creationId xmlns:a16="http://schemas.microsoft.com/office/drawing/2014/main" id="{00000000-0008-0000-0000-0000F6130000}"/>
            </a:ext>
          </a:extLst>
        </xdr:cNvPr>
        <xdr:cNvSpPr>
          <a:spLocks noChangeArrowheads="1"/>
        </xdr:cNvSpPr>
      </xdr:nvSpPr>
      <xdr:spPr bwMode="auto">
        <a:xfrm>
          <a:off x="2409825" y="2686050"/>
          <a:ext cx="657225" cy="598170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767676" mc:Ignorable="a14" a14:legacySpreadsheetColorIndex="9">
                <a:gamma/>
                <a:shade val="46275"/>
                <a:invGamma/>
              </a:srgbClr>
            </a:gs>
          </a:gsLst>
          <a:lin ang="0" scaled="1"/>
        </a:gra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9525</xdr:colOff>
      <xdr:row>15</xdr:row>
      <xdr:rowOff>66675</xdr:rowOff>
    </xdr:from>
    <xdr:to>
      <xdr:col>11</xdr:col>
      <xdr:colOff>133350</xdr:colOff>
      <xdr:row>16</xdr:row>
      <xdr:rowOff>66675</xdr:rowOff>
    </xdr:to>
    <xdr:sp macro="" textlink="">
      <xdr:nvSpPr>
        <xdr:cNvPr id="5109" name="Oval 2037">
          <a:extLst>
            <a:ext uri="{FF2B5EF4-FFF2-40B4-BE49-F238E27FC236}">
              <a16:creationId xmlns:a16="http://schemas.microsoft.com/office/drawing/2014/main" id="{00000000-0008-0000-0000-0000F5130000}"/>
            </a:ext>
          </a:extLst>
        </xdr:cNvPr>
        <xdr:cNvSpPr>
          <a:spLocks noChangeArrowheads="1"/>
        </xdr:cNvSpPr>
      </xdr:nvSpPr>
      <xdr:spPr bwMode="auto">
        <a:xfrm>
          <a:off x="2409825" y="2619375"/>
          <a:ext cx="657225" cy="171450"/>
        </a:xfrm>
        <a:prstGeom prst="ellipse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9E9E9E" mc:Ignorable="a14" a14:legacySpreadsheetColorIndex="9">
                <a:gamma/>
                <a:shade val="61961"/>
                <a:invGamma/>
              </a:srgbClr>
            </a:gs>
          </a:gsLst>
          <a:lin ang="0" scaled="1"/>
        </a:gra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247650</xdr:colOff>
      <xdr:row>15</xdr:row>
      <xdr:rowOff>161925</xdr:rowOff>
    </xdr:from>
    <xdr:to>
      <xdr:col>5</xdr:col>
      <xdr:colOff>0</xdr:colOff>
      <xdr:row>51</xdr:row>
      <xdr:rowOff>47625</xdr:rowOff>
    </xdr:to>
    <xdr:sp macro="" textlink="">
      <xdr:nvSpPr>
        <xdr:cNvPr id="8299" name="Line 2155">
          <a:extLst>
            <a:ext uri="{FF2B5EF4-FFF2-40B4-BE49-F238E27FC236}">
              <a16:creationId xmlns:a16="http://schemas.microsoft.com/office/drawing/2014/main" id="{00000000-0008-0000-0000-00006B200000}"/>
            </a:ext>
          </a:extLst>
        </xdr:cNvPr>
        <xdr:cNvSpPr>
          <a:spLocks noChangeShapeType="1"/>
        </xdr:cNvSpPr>
      </xdr:nvSpPr>
      <xdr:spPr bwMode="auto">
        <a:xfrm flipH="1">
          <a:off x="1314450" y="2714625"/>
          <a:ext cx="19050" cy="605790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51</xdr:row>
      <xdr:rowOff>66675</xdr:rowOff>
    </xdr:from>
    <xdr:to>
      <xdr:col>8</xdr:col>
      <xdr:colOff>247650</xdr:colOff>
      <xdr:row>51</xdr:row>
      <xdr:rowOff>66675</xdr:rowOff>
    </xdr:to>
    <xdr:sp macro="" textlink="">
      <xdr:nvSpPr>
        <xdr:cNvPr id="8300" name="Line 2156">
          <a:extLst>
            <a:ext uri="{FF2B5EF4-FFF2-40B4-BE49-F238E27FC236}">
              <a16:creationId xmlns:a16="http://schemas.microsoft.com/office/drawing/2014/main" id="{00000000-0008-0000-0000-00006C200000}"/>
            </a:ext>
          </a:extLst>
        </xdr:cNvPr>
        <xdr:cNvSpPr>
          <a:spLocks noChangeShapeType="1"/>
        </xdr:cNvSpPr>
      </xdr:nvSpPr>
      <xdr:spPr bwMode="auto">
        <a:xfrm>
          <a:off x="1333500" y="8791575"/>
          <a:ext cx="1047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0</xdr:colOff>
      <xdr:row>15</xdr:row>
      <xdr:rowOff>161925</xdr:rowOff>
    </xdr:from>
    <xdr:to>
      <xdr:col>8</xdr:col>
      <xdr:colOff>238125</xdr:colOff>
      <xdr:row>15</xdr:row>
      <xdr:rowOff>161925</xdr:rowOff>
    </xdr:to>
    <xdr:sp macro="" textlink="">
      <xdr:nvSpPr>
        <xdr:cNvPr id="8301" name="Line 2157">
          <a:extLst>
            <a:ext uri="{FF2B5EF4-FFF2-40B4-BE49-F238E27FC236}">
              <a16:creationId xmlns:a16="http://schemas.microsoft.com/office/drawing/2014/main" id="{00000000-0008-0000-0000-00006D200000}"/>
            </a:ext>
          </a:extLst>
        </xdr:cNvPr>
        <xdr:cNvSpPr>
          <a:spLocks noChangeShapeType="1"/>
        </xdr:cNvSpPr>
      </xdr:nvSpPr>
      <xdr:spPr bwMode="auto">
        <a:xfrm flipV="1">
          <a:off x="1333500" y="2714625"/>
          <a:ext cx="10382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47625</xdr:colOff>
      <xdr:row>16</xdr:row>
      <xdr:rowOff>66675</xdr:rowOff>
    </xdr:from>
    <xdr:to>
      <xdr:col>9</xdr:col>
      <xdr:colOff>47625</xdr:colOff>
      <xdr:row>47</xdr:row>
      <xdr:rowOff>152400</xdr:rowOff>
    </xdr:to>
    <xdr:sp macro="" textlink="">
      <xdr:nvSpPr>
        <xdr:cNvPr id="8303" name="Line 2159">
          <a:extLst>
            <a:ext uri="{FF2B5EF4-FFF2-40B4-BE49-F238E27FC236}">
              <a16:creationId xmlns:a16="http://schemas.microsoft.com/office/drawing/2014/main" id="{00000000-0008-0000-0000-00006F200000}"/>
            </a:ext>
          </a:extLst>
        </xdr:cNvPr>
        <xdr:cNvSpPr>
          <a:spLocks noChangeShapeType="1"/>
        </xdr:cNvSpPr>
      </xdr:nvSpPr>
      <xdr:spPr bwMode="auto">
        <a:xfrm>
          <a:off x="2447925" y="2790825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219075</xdr:colOff>
      <xdr:row>16</xdr:row>
      <xdr:rowOff>133350</xdr:rowOff>
    </xdr:from>
    <xdr:to>
      <xdr:col>9</xdr:col>
      <xdr:colOff>219075</xdr:colOff>
      <xdr:row>48</xdr:row>
      <xdr:rowOff>47625</xdr:rowOff>
    </xdr:to>
    <xdr:sp macro="" textlink="">
      <xdr:nvSpPr>
        <xdr:cNvPr id="8304" name="Line 2160">
          <a:extLst>
            <a:ext uri="{FF2B5EF4-FFF2-40B4-BE49-F238E27FC236}">
              <a16:creationId xmlns:a16="http://schemas.microsoft.com/office/drawing/2014/main" id="{00000000-0008-0000-0000-000070200000}"/>
            </a:ext>
          </a:extLst>
        </xdr:cNvPr>
        <xdr:cNvSpPr>
          <a:spLocks noChangeShapeType="1"/>
        </xdr:cNvSpPr>
      </xdr:nvSpPr>
      <xdr:spPr bwMode="auto">
        <a:xfrm>
          <a:off x="2619375" y="285750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161925</xdr:colOff>
      <xdr:row>16</xdr:row>
      <xdr:rowOff>133350</xdr:rowOff>
    </xdr:from>
    <xdr:to>
      <xdr:col>10</xdr:col>
      <xdr:colOff>161925</xdr:colOff>
      <xdr:row>48</xdr:row>
      <xdr:rowOff>47625</xdr:rowOff>
    </xdr:to>
    <xdr:sp macro="" textlink="">
      <xdr:nvSpPr>
        <xdr:cNvPr id="8305" name="Line 2161">
          <a:extLst>
            <a:ext uri="{FF2B5EF4-FFF2-40B4-BE49-F238E27FC236}">
              <a16:creationId xmlns:a16="http://schemas.microsoft.com/office/drawing/2014/main" id="{00000000-0008-0000-0000-000071200000}"/>
            </a:ext>
          </a:extLst>
        </xdr:cNvPr>
        <xdr:cNvSpPr>
          <a:spLocks noChangeShapeType="1"/>
        </xdr:cNvSpPr>
      </xdr:nvSpPr>
      <xdr:spPr bwMode="auto">
        <a:xfrm>
          <a:off x="2828925" y="285750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11</xdr:col>
      <xdr:colOff>85725</xdr:colOff>
      <xdr:row>16</xdr:row>
      <xdr:rowOff>95250</xdr:rowOff>
    </xdr:from>
    <xdr:to>
      <xdr:col>11</xdr:col>
      <xdr:colOff>85725</xdr:colOff>
      <xdr:row>48</xdr:row>
      <xdr:rowOff>9525</xdr:rowOff>
    </xdr:to>
    <xdr:sp macro="" textlink="">
      <xdr:nvSpPr>
        <xdr:cNvPr id="8306" name="Line 2162">
          <a:extLst>
            <a:ext uri="{FF2B5EF4-FFF2-40B4-BE49-F238E27FC236}">
              <a16:creationId xmlns:a16="http://schemas.microsoft.com/office/drawing/2014/main" id="{00000000-0008-0000-0000-000072200000}"/>
            </a:ext>
          </a:extLst>
        </xdr:cNvPr>
        <xdr:cNvSpPr>
          <a:spLocks noChangeShapeType="1"/>
        </xdr:cNvSpPr>
      </xdr:nvSpPr>
      <xdr:spPr bwMode="auto">
        <a:xfrm>
          <a:off x="3019425" y="281940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247650</xdr:colOff>
      <xdr:row>16</xdr:row>
      <xdr:rowOff>0</xdr:rowOff>
    </xdr:from>
    <xdr:to>
      <xdr:col>10</xdr:col>
      <xdr:colOff>247650</xdr:colOff>
      <xdr:row>47</xdr:row>
      <xdr:rowOff>85725</xdr:rowOff>
    </xdr:to>
    <xdr:sp macro="" textlink="">
      <xdr:nvSpPr>
        <xdr:cNvPr id="8307" name="Line 2163">
          <a:extLst>
            <a:ext uri="{FF2B5EF4-FFF2-40B4-BE49-F238E27FC236}">
              <a16:creationId xmlns:a16="http://schemas.microsoft.com/office/drawing/2014/main" id="{00000000-0008-0000-0000-000073200000}"/>
            </a:ext>
          </a:extLst>
        </xdr:cNvPr>
        <xdr:cNvSpPr>
          <a:spLocks noChangeShapeType="1"/>
        </xdr:cNvSpPr>
      </xdr:nvSpPr>
      <xdr:spPr bwMode="auto">
        <a:xfrm>
          <a:off x="2914650" y="2724150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57150</xdr:colOff>
      <xdr:row>15</xdr:row>
      <xdr:rowOff>142875</xdr:rowOff>
    </xdr:from>
    <xdr:to>
      <xdr:col>10</xdr:col>
      <xdr:colOff>57150</xdr:colOff>
      <xdr:row>47</xdr:row>
      <xdr:rowOff>57150</xdr:rowOff>
    </xdr:to>
    <xdr:sp macro="" textlink="">
      <xdr:nvSpPr>
        <xdr:cNvPr id="8308" name="Line 2164">
          <a:extLst>
            <a:ext uri="{FF2B5EF4-FFF2-40B4-BE49-F238E27FC236}">
              <a16:creationId xmlns:a16="http://schemas.microsoft.com/office/drawing/2014/main" id="{00000000-0008-0000-0000-000074200000}"/>
            </a:ext>
          </a:extLst>
        </xdr:cNvPr>
        <xdr:cNvSpPr>
          <a:spLocks noChangeShapeType="1"/>
        </xdr:cNvSpPr>
      </xdr:nvSpPr>
      <xdr:spPr bwMode="auto">
        <a:xfrm>
          <a:off x="2724150" y="2695575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133350</xdr:colOff>
      <xdr:row>16</xdr:row>
      <xdr:rowOff>9525</xdr:rowOff>
    </xdr:from>
    <xdr:to>
      <xdr:col>9</xdr:col>
      <xdr:colOff>133350</xdr:colOff>
      <xdr:row>47</xdr:row>
      <xdr:rowOff>95250</xdr:rowOff>
    </xdr:to>
    <xdr:sp macro="" textlink="">
      <xdr:nvSpPr>
        <xdr:cNvPr id="8309" name="Line 2165">
          <a:extLst>
            <a:ext uri="{FF2B5EF4-FFF2-40B4-BE49-F238E27FC236}">
              <a16:creationId xmlns:a16="http://schemas.microsoft.com/office/drawing/2014/main" id="{00000000-0008-0000-0000-000075200000}"/>
            </a:ext>
          </a:extLst>
        </xdr:cNvPr>
        <xdr:cNvSpPr>
          <a:spLocks noChangeShapeType="1"/>
        </xdr:cNvSpPr>
      </xdr:nvSpPr>
      <xdr:spPr bwMode="auto">
        <a:xfrm>
          <a:off x="2533650" y="2733675"/>
          <a:ext cx="0" cy="540067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28</xdr:row>
      <xdr:rowOff>66675</xdr:rowOff>
    </xdr:from>
    <xdr:to>
      <xdr:col>11</xdr:col>
      <xdr:colOff>123825</xdr:colOff>
      <xdr:row>29</xdr:row>
      <xdr:rowOff>57150</xdr:rowOff>
    </xdr:to>
    <xdr:sp macro="" textlink="">
      <xdr:nvSpPr>
        <xdr:cNvPr id="8310" name="Oval 2166">
          <a:extLst>
            <a:ext uri="{FF2B5EF4-FFF2-40B4-BE49-F238E27FC236}">
              <a16:creationId xmlns:a16="http://schemas.microsoft.com/office/drawing/2014/main" id="{00000000-0008-0000-0000-000076200000}"/>
            </a:ext>
          </a:extLst>
        </xdr:cNvPr>
        <xdr:cNvSpPr>
          <a:spLocks noChangeArrowheads="1"/>
        </xdr:cNvSpPr>
      </xdr:nvSpPr>
      <xdr:spPr bwMode="auto">
        <a:xfrm>
          <a:off x="2438400" y="48482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26</xdr:row>
      <xdr:rowOff>66675</xdr:rowOff>
    </xdr:from>
    <xdr:to>
      <xdr:col>11</xdr:col>
      <xdr:colOff>123825</xdr:colOff>
      <xdr:row>27</xdr:row>
      <xdr:rowOff>57150</xdr:rowOff>
    </xdr:to>
    <xdr:sp macro="" textlink="">
      <xdr:nvSpPr>
        <xdr:cNvPr id="8311" name="Oval 2167">
          <a:extLst>
            <a:ext uri="{FF2B5EF4-FFF2-40B4-BE49-F238E27FC236}">
              <a16:creationId xmlns:a16="http://schemas.microsoft.com/office/drawing/2014/main" id="{00000000-0008-0000-0000-000077200000}"/>
            </a:ext>
          </a:extLst>
        </xdr:cNvPr>
        <xdr:cNvSpPr>
          <a:spLocks noChangeArrowheads="1"/>
        </xdr:cNvSpPr>
      </xdr:nvSpPr>
      <xdr:spPr bwMode="auto">
        <a:xfrm>
          <a:off x="2438400" y="45053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29</xdr:row>
      <xdr:rowOff>57150</xdr:rowOff>
    </xdr:from>
    <xdr:to>
      <xdr:col>11</xdr:col>
      <xdr:colOff>123825</xdr:colOff>
      <xdr:row>30</xdr:row>
      <xdr:rowOff>47625</xdr:rowOff>
    </xdr:to>
    <xdr:sp macro="" textlink="">
      <xdr:nvSpPr>
        <xdr:cNvPr id="8312" name="Oval 2168">
          <a:extLst>
            <a:ext uri="{FF2B5EF4-FFF2-40B4-BE49-F238E27FC236}">
              <a16:creationId xmlns:a16="http://schemas.microsoft.com/office/drawing/2014/main" id="{00000000-0008-0000-0000-000078200000}"/>
            </a:ext>
          </a:extLst>
        </xdr:cNvPr>
        <xdr:cNvSpPr>
          <a:spLocks noChangeArrowheads="1"/>
        </xdr:cNvSpPr>
      </xdr:nvSpPr>
      <xdr:spPr bwMode="auto">
        <a:xfrm>
          <a:off x="2438400" y="50101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25</xdr:row>
      <xdr:rowOff>76200</xdr:rowOff>
    </xdr:from>
    <xdr:to>
      <xdr:col>11</xdr:col>
      <xdr:colOff>123825</xdr:colOff>
      <xdr:row>26</xdr:row>
      <xdr:rowOff>66675</xdr:rowOff>
    </xdr:to>
    <xdr:sp macro="" textlink="">
      <xdr:nvSpPr>
        <xdr:cNvPr id="8314" name="Oval 2170">
          <a:extLst>
            <a:ext uri="{FF2B5EF4-FFF2-40B4-BE49-F238E27FC236}">
              <a16:creationId xmlns:a16="http://schemas.microsoft.com/office/drawing/2014/main" id="{00000000-0008-0000-0000-00007A200000}"/>
            </a:ext>
          </a:extLst>
        </xdr:cNvPr>
        <xdr:cNvSpPr>
          <a:spLocks noChangeArrowheads="1"/>
        </xdr:cNvSpPr>
      </xdr:nvSpPr>
      <xdr:spPr bwMode="auto">
        <a:xfrm>
          <a:off x="2438400" y="43434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24</xdr:row>
      <xdr:rowOff>76200</xdr:rowOff>
    </xdr:from>
    <xdr:to>
      <xdr:col>11</xdr:col>
      <xdr:colOff>123825</xdr:colOff>
      <xdr:row>25</xdr:row>
      <xdr:rowOff>66675</xdr:rowOff>
    </xdr:to>
    <xdr:sp macro="" textlink="">
      <xdr:nvSpPr>
        <xdr:cNvPr id="8315" name="Oval 2171">
          <a:extLst>
            <a:ext uri="{FF2B5EF4-FFF2-40B4-BE49-F238E27FC236}">
              <a16:creationId xmlns:a16="http://schemas.microsoft.com/office/drawing/2014/main" id="{00000000-0008-0000-0000-00007B200000}"/>
            </a:ext>
          </a:extLst>
        </xdr:cNvPr>
        <xdr:cNvSpPr>
          <a:spLocks noChangeArrowheads="1"/>
        </xdr:cNvSpPr>
      </xdr:nvSpPr>
      <xdr:spPr bwMode="auto">
        <a:xfrm>
          <a:off x="2438400" y="41719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23</xdr:row>
      <xdr:rowOff>76200</xdr:rowOff>
    </xdr:from>
    <xdr:to>
      <xdr:col>11</xdr:col>
      <xdr:colOff>123825</xdr:colOff>
      <xdr:row>24</xdr:row>
      <xdr:rowOff>66675</xdr:rowOff>
    </xdr:to>
    <xdr:sp macro="" textlink="">
      <xdr:nvSpPr>
        <xdr:cNvPr id="8316" name="Oval 2172">
          <a:extLst>
            <a:ext uri="{FF2B5EF4-FFF2-40B4-BE49-F238E27FC236}">
              <a16:creationId xmlns:a16="http://schemas.microsoft.com/office/drawing/2014/main" id="{00000000-0008-0000-0000-00007C200000}"/>
            </a:ext>
          </a:extLst>
        </xdr:cNvPr>
        <xdr:cNvSpPr>
          <a:spLocks noChangeArrowheads="1"/>
        </xdr:cNvSpPr>
      </xdr:nvSpPr>
      <xdr:spPr bwMode="auto">
        <a:xfrm>
          <a:off x="2438400" y="40005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22</xdr:row>
      <xdr:rowOff>85725</xdr:rowOff>
    </xdr:from>
    <xdr:to>
      <xdr:col>11</xdr:col>
      <xdr:colOff>123825</xdr:colOff>
      <xdr:row>23</xdr:row>
      <xdr:rowOff>76200</xdr:rowOff>
    </xdr:to>
    <xdr:sp macro="" textlink="">
      <xdr:nvSpPr>
        <xdr:cNvPr id="8317" name="Oval 2173">
          <a:extLst>
            <a:ext uri="{FF2B5EF4-FFF2-40B4-BE49-F238E27FC236}">
              <a16:creationId xmlns:a16="http://schemas.microsoft.com/office/drawing/2014/main" id="{00000000-0008-0000-0000-00007D200000}"/>
            </a:ext>
          </a:extLst>
        </xdr:cNvPr>
        <xdr:cNvSpPr>
          <a:spLocks noChangeArrowheads="1"/>
        </xdr:cNvSpPr>
      </xdr:nvSpPr>
      <xdr:spPr bwMode="auto">
        <a:xfrm>
          <a:off x="2438400" y="38385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21</xdr:row>
      <xdr:rowOff>95250</xdr:rowOff>
    </xdr:from>
    <xdr:to>
      <xdr:col>11</xdr:col>
      <xdr:colOff>123825</xdr:colOff>
      <xdr:row>22</xdr:row>
      <xdr:rowOff>85725</xdr:rowOff>
    </xdr:to>
    <xdr:sp macro="" textlink="">
      <xdr:nvSpPr>
        <xdr:cNvPr id="8318" name="Oval 2174">
          <a:extLst>
            <a:ext uri="{FF2B5EF4-FFF2-40B4-BE49-F238E27FC236}">
              <a16:creationId xmlns:a16="http://schemas.microsoft.com/office/drawing/2014/main" id="{00000000-0008-0000-0000-00007E200000}"/>
            </a:ext>
          </a:extLst>
        </xdr:cNvPr>
        <xdr:cNvSpPr>
          <a:spLocks noChangeArrowheads="1"/>
        </xdr:cNvSpPr>
      </xdr:nvSpPr>
      <xdr:spPr bwMode="auto">
        <a:xfrm>
          <a:off x="2438400" y="36766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20</xdr:row>
      <xdr:rowOff>104775</xdr:rowOff>
    </xdr:from>
    <xdr:to>
      <xdr:col>11</xdr:col>
      <xdr:colOff>123825</xdr:colOff>
      <xdr:row>21</xdr:row>
      <xdr:rowOff>95250</xdr:rowOff>
    </xdr:to>
    <xdr:sp macro="" textlink="">
      <xdr:nvSpPr>
        <xdr:cNvPr id="8319" name="Oval 2175">
          <a:extLst>
            <a:ext uri="{FF2B5EF4-FFF2-40B4-BE49-F238E27FC236}">
              <a16:creationId xmlns:a16="http://schemas.microsoft.com/office/drawing/2014/main" id="{00000000-0008-0000-0000-00007F200000}"/>
            </a:ext>
          </a:extLst>
        </xdr:cNvPr>
        <xdr:cNvSpPr>
          <a:spLocks noChangeArrowheads="1"/>
        </xdr:cNvSpPr>
      </xdr:nvSpPr>
      <xdr:spPr bwMode="auto">
        <a:xfrm>
          <a:off x="2438400" y="35147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19</xdr:row>
      <xdr:rowOff>114300</xdr:rowOff>
    </xdr:from>
    <xdr:to>
      <xdr:col>11</xdr:col>
      <xdr:colOff>123825</xdr:colOff>
      <xdr:row>20</xdr:row>
      <xdr:rowOff>104775</xdr:rowOff>
    </xdr:to>
    <xdr:sp macro="" textlink="">
      <xdr:nvSpPr>
        <xdr:cNvPr id="8320" name="Oval 2176">
          <a:extLst>
            <a:ext uri="{FF2B5EF4-FFF2-40B4-BE49-F238E27FC236}">
              <a16:creationId xmlns:a16="http://schemas.microsoft.com/office/drawing/2014/main" id="{00000000-0008-0000-0000-000080200000}"/>
            </a:ext>
          </a:extLst>
        </xdr:cNvPr>
        <xdr:cNvSpPr>
          <a:spLocks noChangeArrowheads="1"/>
        </xdr:cNvSpPr>
      </xdr:nvSpPr>
      <xdr:spPr bwMode="auto">
        <a:xfrm>
          <a:off x="2438400" y="33528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18</xdr:row>
      <xdr:rowOff>123825</xdr:rowOff>
    </xdr:from>
    <xdr:to>
      <xdr:col>11</xdr:col>
      <xdr:colOff>123825</xdr:colOff>
      <xdr:row>19</xdr:row>
      <xdr:rowOff>114300</xdr:rowOff>
    </xdr:to>
    <xdr:sp macro="" textlink="">
      <xdr:nvSpPr>
        <xdr:cNvPr id="8321" name="Oval 2177">
          <a:extLst>
            <a:ext uri="{FF2B5EF4-FFF2-40B4-BE49-F238E27FC236}">
              <a16:creationId xmlns:a16="http://schemas.microsoft.com/office/drawing/2014/main" id="{00000000-0008-0000-0000-000081200000}"/>
            </a:ext>
          </a:extLst>
        </xdr:cNvPr>
        <xdr:cNvSpPr>
          <a:spLocks noChangeArrowheads="1"/>
        </xdr:cNvSpPr>
      </xdr:nvSpPr>
      <xdr:spPr bwMode="auto">
        <a:xfrm>
          <a:off x="2438400" y="31908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17</xdr:row>
      <xdr:rowOff>133350</xdr:rowOff>
    </xdr:from>
    <xdr:to>
      <xdr:col>11</xdr:col>
      <xdr:colOff>123825</xdr:colOff>
      <xdr:row>18</xdr:row>
      <xdr:rowOff>123825</xdr:rowOff>
    </xdr:to>
    <xdr:sp macro="" textlink="">
      <xdr:nvSpPr>
        <xdr:cNvPr id="8322" name="Oval 2178">
          <a:extLst>
            <a:ext uri="{FF2B5EF4-FFF2-40B4-BE49-F238E27FC236}">
              <a16:creationId xmlns:a16="http://schemas.microsoft.com/office/drawing/2014/main" id="{00000000-0008-0000-0000-000082200000}"/>
            </a:ext>
          </a:extLst>
        </xdr:cNvPr>
        <xdr:cNvSpPr>
          <a:spLocks noChangeArrowheads="1"/>
        </xdr:cNvSpPr>
      </xdr:nvSpPr>
      <xdr:spPr bwMode="auto">
        <a:xfrm>
          <a:off x="2438400" y="30289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16</xdr:row>
      <xdr:rowOff>142875</xdr:rowOff>
    </xdr:from>
    <xdr:to>
      <xdr:col>11</xdr:col>
      <xdr:colOff>123825</xdr:colOff>
      <xdr:row>17</xdr:row>
      <xdr:rowOff>133350</xdr:rowOff>
    </xdr:to>
    <xdr:sp macro="" textlink="">
      <xdr:nvSpPr>
        <xdr:cNvPr id="8323" name="Oval 2179">
          <a:extLst>
            <a:ext uri="{FF2B5EF4-FFF2-40B4-BE49-F238E27FC236}">
              <a16:creationId xmlns:a16="http://schemas.microsoft.com/office/drawing/2014/main" id="{00000000-0008-0000-0000-000083200000}"/>
            </a:ext>
          </a:extLst>
        </xdr:cNvPr>
        <xdr:cNvSpPr>
          <a:spLocks noChangeArrowheads="1"/>
        </xdr:cNvSpPr>
      </xdr:nvSpPr>
      <xdr:spPr bwMode="auto">
        <a:xfrm>
          <a:off x="2438400" y="28670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15</xdr:row>
      <xdr:rowOff>152400</xdr:rowOff>
    </xdr:from>
    <xdr:to>
      <xdr:col>11</xdr:col>
      <xdr:colOff>123825</xdr:colOff>
      <xdr:row>16</xdr:row>
      <xdr:rowOff>142875</xdr:rowOff>
    </xdr:to>
    <xdr:sp macro="" textlink="">
      <xdr:nvSpPr>
        <xdr:cNvPr id="8324" name="Oval 2180">
          <a:extLst>
            <a:ext uri="{FF2B5EF4-FFF2-40B4-BE49-F238E27FC236}">
              <a16:creationId xmlns:a16="http://schemas.microsoft.com/office/drawing/2014/main" id="{00000000-0008-0000-0000-000084200000}"/>
            </a:ext>
          </a:extLst>
        </xdr:cNvPr>
        <xdr:cNvSpPr>
          <a:spLocks noChangeArrowheads="1"/>
        </xdr:cNvSpPr>
      </xdr:nvSpPr>
      <xdr:spPr bwMode="auto">
        <a:xfrm>
          <a:off x="2438400" y="27051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27</xdr:row>
      <xdr:rowOff>66675</xdr:rowOff>
    </xdr:from>
    <xdr:to>
      <xdr:col>11</xdr:col>
      <xdr:colOff>123825</xdr:colOff>
      <xdr:row>28</xdr:row>
      <xdr:rowOff>57150</xdr:rowOff>
    </xdr:to>
    <xdr:sp macro="" textlink="">
      <xdr:nvSpPr>
        <xdr:cNvPr id="8325" name="Oval 2181">
          <a:extLst>
            <a:ext uri="{FF2B5EF4-FFF2-40B4-BE49-F238E27FC236}">
              <a16:creationId xmlns:a16="http://schemas.microsoft.com/office/drawing/2014/main" id="{00000000-0008-0000-0000-000085200000}"/>
            </a:ext>
          </a:extLst>
        </xdr:cNvPr>
        <xdr:cNvSpPr>
          <a:spLocks noChangeArrowheads="1"/>
        </xdr:cNvSpPr>
      </xdr:nvSpPr>
      <xdr:spPr bwMode="auto">
        <a:xfrm>
          <a:off x="2438400" y="46767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32</xdr:row>
      <xdr:rowOff>38100</xdr:rowOff>
    </xdr:from>
    <xdr:to>
      <xdr:col>11</xdr:col>
      <xdr:colOff>123825</xdr:colOff>
      <xdr:row>33</xdr:row>
      <xdr:rowOff>28575</xdr:rowOff>
    </xdr:to>
    <xdr:sp macro="" textlink="">
      <xdr:nvSpPr>
        <xdr:cNvPr id="8327" name="Oval 2183">
          <a:extLst>
            <a:ext uri="{FF2B5EF4-FFF2-40B4-BE49-F238E27FC236}">
              <a16:creationId xmlns:a16="http://schemas.microsoft.com/office/drawing/2014/main" id="{00000000-0008-0000-0000-000087200000}"/>
            </a:ext>
          </a:extLst>
        </xdr:cNvPr>
        <xdr:cNvSpPr>
          <a:spLocks noChangeArrowheads="1"/>
        </xdr:cNvSpPr>
      </xdr:nvSpPr>
      <xdr:spPr bwMode="auto">
        <a:xfrm>
          <a:off x="2438400" y="550545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31</xdr:row>
      <xdr:rowOff>47625</xdr:rowOff>
    </xdr:from>
    <xdr:to>
      <xdr:col>11</xdr:col>
      <xdr:colOff>123825</xdr:colOff>
      <xdr:row>32</xdr:row>
      <xdr:rowOff>38100</xdr:rowOff>
    </xdr:to>
    <xdr:sp macro="" textlink="">
      <xdr:nvSpPr>
        <xdr:cNvPr id="8329" name="Oval 2185">
          <a:extLst>
            <a:ext uri="{FF2B5EF4-FFF2-40B4-BE49-F238E27FC236}">
              <a16:creationId xmlns:a16="http://schemas.microsoft.com/office/drawing/2014/main" id="{00000000-0008-0000-0000-000089200000}"/>
            </a:ext>
          </a:extLst>
        </xdr:cNvPr>
        <xdr:cNvSpPr>
          <a:spLocks noChangeArrowheads="1"/>
        </xdr:cNvSpPr>
      </xdr:nvSpPr>
      <xdr:spPr bwMode="auto">
        <a:xfrm>
          <a:off x="2438400" y="534352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30</xdr:row>
      <xdr:rowOff>47625</xdr:rowOff>
    </xdr:from>
    <xdr:to>
      <xdr:col>11</xdr:col>
      <xdr:colOff>123825</xdr:colOff>
      <xdr:row>31</xdr:row>
      <xdr:rowOff>38100</xdr:rowOff>
    </xdr:to>
    <xdr:sp macro="" textlink="">
      <xdr:nvSpPr>
        <xdr:cNvPr id="8330" name="Oval 2186">
          <a:extLst>
            <a:ext uri="{FF2B5EF4-FFF2-40B4-BE49-F238E27FC236}">
              <a16:creationId xmlns:a16="http://schemas.microsoft.com/office/drawing/2014/main" id="{00000000-0008-0000-0000-00008A200000}"/>
            </a:ext>
          </a:extLst>
        </xdr:cNvPr>
        <xdr:cNvSpPr>
          <a:spLocks noChangeArrowheads="1"/>
        </xdr:cNvSpPr>
      </xdr:nvSpPr>
      <xdr:spPr bwMode="auto">
        <a:xfrm>
          <a:off x="2438400" y="5172075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38100</xdr:colOff>
      <xdr:row>33</xdr:row>
      <xdr:rowOff>38100</xdr:rowOff>
    </xdr:from>
    <xdr:to>
      <xdr:col>11</xdr:col>
      <xdr:colOff>123825</xdr:colOff>
      <xdr:row>34</xdr:row>
      <xdr:rowOff>28575</xdr:rowOff>
    </xdr:to>
    <xdr:sp macro="" textlink="">
      <xdr:nvSpPr>
        <xdr:cNvPr id="8331" name="Oval 2187">
          <a:extLst>
            <a:ext uri="{FF2B5EF4-FFF2-40B4-BE49-F238E27FC236}">
              <a16:creationId xmlns:a16="http://schemas.microsoft.com/office/drawing/2014/main" id="{00000000-0008-0000-0000-00008B200000}"/>
            </a:ext>
          </a:extLst>
        </xdr:cNvPr>
        <xdr:cNvSpPr>
          <a:spLocks noChangeArrowheads="1"/>
        </xdr:cNvSpPr>
      </xdr:nvSpPr>
      <xdr:spPr bwMode="auto">
        <a:xfrm>
          <a:off x="2438400" y="5676900"/>
          <a:ext cx="619125" cy="161925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219075</xdr:colOff>
      <xdr:row>10</xdr:row>
      <xdr:rowOff>152401</xdr:rowOff>
    </xdr:from>
    <xdr:to>
      <xdr:col>11</xdr:col>
      <xdr:colOff>257175</xdr:colOff>
      <xdr:row>12</xdr:row>
      <xdr:rowOff>85725</xdr:rowOff>
    </xdr:to>
    <xdr:sp macro="" textlink="">
      <xdr:nvSpPr>
        <xdr:cNvPr id="8348" name="AutoShape 2204">
          <a:extLst>
            <a:ext uri="{FF2B5EF4-FFF2-40B4-BE49-F238E27FC236}">
              <a16:creationId xmlns:a16="http://schemas.microsoft.com/office/drawing/2014/main" id="{00000000-0008-0000-0000-00009C200000}"/>
            </a:ext>
          </a:extLst>
        </xdr:cNvPr>
        <xdr:cNvSpPr>
          <a:spLocks noChangeArrowheads="1"/>
        </xdr:cNvSpPr>
      </xdr:nvSpPr>
      <xdr:spPr bwMode="auto">
        <a:xfrm>
          <a:off x="2352675" y="1847851"/>
          <a:ext cx="838200" cy="276224"/>
        </a:xfrm>
        <a:prstGeom prst="curvedDownArrow">
          <a:avLst>
            <a:gd name="adj1" fmla="val 37931"/>
            <a:gd name="adj2" fmla="val 99997"/>
            <a:gd name="adj3" fmla="val 40000"/>
          </a:avLst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257174</xdr:colOff>
      <xdr:row>12</xdr:row>
      <xdr:rowOff>28575</xdr:rowOff>
    </xdr:from>
    <xdr:to>
      <xdr:col>10</xdr:col>
      <xdr:colOff>123825</xdr:colOff>
      <xdr:row>15</xdr:row>
      <xdr:rowOff>104775</xdr:rowOff>
    </xdr:to>
    <xdr:sp macro="" textlink="">
      <xdr:nvSpPr>
        <xdr:cNvPr id="8351" name="AutoShape 2207">
          <a:extLst>
            <a:ext uri="{FF2B5EF4-FFF2-40B4-BE49-F238E27FC236}">
              <a16:creationId xmlns:a16="http://schemas.microsoft.com/office/drawing/2014/main" id="{00000000-0008-0000-0000-00009F200000}"/>
            </a:ext>
          </a:extLst>
        </xdr:cNvPr>
        <xdr:cNvSpPr>
          <a:spLocks noChangeArrowheads="1"/>
        </xdr:cNvSpPr>
      </xdr:nvSpPr>
      <xdr:spPr bwMode="auto">
        <a:xfrm>
          <a:off x="2657474" y="2066925"/>
          <a:ext cx="133351" cy="590550"/>
        </a:xfrm>
        <a:prstGeom prst="downArrow">
          <a:avLst>
            <a:gd name="adj1" fmla="val 50000"/>
            <a:gd name="adj2" fmla="val 55357"/>
          </a:avLst>
        </a:prstGeom>
        <a:solidFill>
          <a:srgbClr xmlns:mc="http://schemas.openxmlformats.org/markup-compatibility/2006" xmlns:a14="http://schemas.microsoft.com/office/drawing/2010/main" val="E1E1FF" mc:Ignorable="a14" a14:legacySpreadsheetColorIndex="32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76200</xdr:colOff>
      <xdr:row>11</xdr:row>
      <xdr:rowOff>161925</xdr:rowOff>
    </xdr:from>
    <xdr:to>
      <xdr:col>10</xdr:col>
      <xdr:colOff>228600</xdr:colOff>
      <xdr:row>15</xdr:row>
      <xdr:rowOff>95250</xdr:rowOff>
    </xdr:to>
    <xdr:sp macro="" textlink="">
      <xdr:nvSpPr>
        <xdr:cNvPr id="8352" name="AutoShape 2208">
          <a:extLst>
            <a:ext uri="{FF2B5EF4-FFF2-40B4-BE49-F238E27FC236}">
              <a16:creationId xmlns:a16="http://schemas.microsoft.com/office/drawing/2014/main" id="{00000000-0008-0000-0000-0000A0200000}"/>
            </a:ext>
          </a:extLst>
        </xdr:cNvPr>
        <xdr:cNvSpPr>
          <a:spLocks noChangeArrowheads="1"/>
        </xdr:cNvSpPr>
      </xdr:nvSpPr>
      <xdr:spPr bwMode="auto">
        <a:xfrm>
          <a:off x="2743200" y="2028825"/>
          <a:ext cx="152400" cy="619125"/>
        </a:xfrm>
        <a:prstGeom prst="upArrow">
          <a:avLst>
            <a:gd name="adj1" fmla="val 50000"/>
            <a:gd name="adj2" fmla="val 58036"/>
          </a:avLst>
        </a:prstGeom>
        <a:solidFill>
          <a:srgbClr xmlns:mc="http://schemas.openxmlformats.org/markup-compatibility/2006" xmlns:a14="http://schemas.microsoft.com/office/drawing/2010/main" val="FEF8EC" mc:Ignorable="a14" a14:legacySpreadsheetColorIndex="18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57150</xdr:colOff>
      <xdr:row>13</xdr:row>
      <xdr:rowOff>133349</xdr:rowOff>
    </xdr:from>
    <xdr:to>
      <xdr:col>7</xdr:col>
      <xdr:colOff>95250</xdr:colOff>
      <xdr:row>14</xdr:row>
      <xdr:rowOff>85724</xdr:rowOff>
    </xdr:to>
    <xdr:sp macro="" textlink="">
      <xdr:nvSpPr>
        <xdr:cNvPr id="8353" name="AutoShape 2209">
          <a:extLst>
            <a:ext uri="{FF2B5EF4-FFF2-40B4-BE49-F238E27FC236}">
              <a16:creationId xmlns:a16="http://schemas.microsoft.com/office/drawing/2014/main" id="{00000000-0008-0000-0000-0000A1200000}"/>
            </a:ext>
          </a:extLst>
        </xdr:cNvPr>
        <xdr:cNvSpPr>
          <a:spLocks noChangeArrowheads="1"/>
        </xdr:cNvSpPr>
      </xdr:nvSpPr>
      <xdr:spPr bwMode="auto">
        <a:xfrm>
          <a:off x="1123950" y="2343149"/>
          <a:ext cx="838200" cy="123825"/>
        </a:xfrm>
        <a:prstGeom prst="rightArrow">
          <a:avLst>
            <a:gd name="adj1" fmla="val 50000"/>
            <a:gd name="adj2" fmla="val 78571"/>
          </a:avLst>
        </a:prstGeom>
        <a:solidFill>
          <a:srgbClr xmlns:mc="http://schemas.openxmlformats.org/markup-compatibility/2006" xmlns:a14="http://schemas.microsoft.com/office/drawing/2010/main" val="FBE3C7" mc:Ignorable="a14" a14:legacySpreadsheetColorIndex="47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123825</xdr:colOff>
      <xdr:row>14</xdr:row>
      <xdr:rowOff>57150</xdr:rowOff>
    </xdr:from>
    <xdr:to>
      <xdr:col>6</xdr:col>
      <xdr:colOff>47625</xdr:colOff>
      <xdr:row>15</xdr:row>
      <xdr:rowOff>76200</xdr:rowOff>
    </xdr:to>
    <xdr:sp macro="" textlink="">
      <xdr:nvSpPr>
        <xdr:cNvPr id="8297" name="Rectangle 2153">
          <a:extLst>
            <a:ext uri="{FF2B5EF4-FFF2-40B4-BE49-F238E27FC236}">
              <a16:creationId xmlns:a16="http://schemas.microsoft.com/office/drawing/2014/main" id="{00000000-0008-0000-0000-000069200000}"/>
            </a:ext>
          </a:extLst>
        </xdr:cNvPr>
        <xdr:cNvSpPr>
          <a:spLocks noChangeArrowheads="1"/>
        </xdr:cNvSpPr>
      </xdr:nvSpPr>
      <xdr:spPr bwMode="auto">
        <a:xfrm>
          <a:off x="1457325" y="243840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10</xdr:col>
      <xdr:colOff>238125</xdr:colOff>
      <xdr:row>11</xdr:row>
      <xdr:rowOff>95250</xdr:rowOff>
    </xdr:from>
    <xdr:to>
      <xdr:col>11</xdr:col>
      <xdr:colOff>161925</xdr:colOff>
      <xdr:row>12</xdr:row>
      <xdr:rowOff>114300</xdr:rowOff>
    </xdr:to>
    <xdr:sp macro="" textlink="">
      <xdr:nvSpPr>
        <xdr:cNvPr id="8296" name="Rectangle 2152">
          <a:extLst>
            <a:ext uri="{FF2B5EF4-FFF2-40B4-BE49-F238E27FC236}">
              <a16:creationId xmlns:a16="http://schemas.microsoft.com/office/drawing/2014/main" id="{00000000-0008-0000-0000-000068200000}"/>
            </a:ext>
          </a:extLst>
        </xdr:cNvPr>
        <xdr:cNvSpPr>
          <a:spLocks noChangeArrowheads="1"/>
        </xdr:cNvSpPr>
      </xdr:nvSpPr>
      <xdr:spPr bwMode="auto">
        <a:xfrm>
          <a:off x="2905125" y="196215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10</xdr:col>
      <xdr:colOff>95250</xdr:colOff>
      <xdr:row>13</xdr:row>
      <xdr:rowOff>19050</xdr:rowOff>
    </xdr:from>
    <xdr:to>
      <xdr:col>11</xdr:col>
      <xdr:colOff>19050</xdr:colOff>
      <xdr:row>14</xdr:row>
      <xdr:rowOff>38100</xdr:rowOff>
    </xdr:to>
    <xdr:sp macro="" textlink="">
      <xdr:nvSpPr>
        <xdr:cNvPr id="8295" name="Rectangle 2151">
          <a:extLst>
            <a:ext uri="{FF2B5EF4-FFF2-40B4-BE49-F238E27FC236}">
              <a16:creationId xmlns:a16="http://schemas.microsoft.com/office/drawing/2014/main" id="{00000000-0008-0000-0000-000067200000}"/>
            </a:ext>
          </a:extLst>
        </xdr:cNvPr>
        <xdr:cNvSpPr>
          <a:spLocks noChangeArrowheads="1"/>
        </xdr:cNvSpPr>
      </xdr:nvSpPr>
      <xdr:spPr bwMode="auto">
        <a:xfrm>
          <a:off x="2762250" y="222885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9</xdr:col>
      <xdr:colOff>104775</xdr:colOff>
      <xdr:row>13</xdr:row>
      <xdr:rowOff>19050</xdr:rowOff>
    </xdr:from>
    <xdr:to>
      <xdr:col>10</xdr:col>
      <xdr:colOff>28575</xdr:colOff>
      <xdr:row>14</xdr:row>
      <xdr:rowOff>38100</xdr:rowOff>
    </xdr:to>
    <xdr:sp macro="" textlink="">
      <xdr:nvSpPr>
        <xdr:cNvPr id="8294" name="Rectangle 2150">
          <a:extLst>
            <a:ext uri="{FF2B5EF4-FFF2-40B4-BE49-F238E27FC236}">
              <a16:creationId xmlns:a16="http://schemas.microsoft.com/office/drawing/2014/main" id="{00000000-0008-0000-0000-000066200000}"/>
            </a:ext>
          </a:extLst>
        </xdr:cNvPr>
        <xdr:cNvSpPr>
          <a:spLocks noChangeArrowheads="1"/>
        </xdr:cNvSpPr>
      </xdr:nvSpPr>
      <xdr:spPr bwMode="auto">
        <a:xfrm>
          <a:off x="2505075" y="2228850"/>
          <a:ext cx="190500" cy="190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pt-BR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7</xdr:col>
      <xdr:colOff>123825</xdr:colOff>
      <xdr:row>17</xdr:row>
      <xdr:rowOff>57150</xdr:rowOff>
    </xdr:from>
    <xdr:to>
      <xdr:col>7</xdr:col>
      <xdr:colOff>123825</xdr:colOff>
      <xdr:row>48</xdr:row>
      <xdr:rowOff>76200</xdr:rowOff>
    </xdr:to>
    <xdr:sp macro="" textlink="">
      <xdr:nvSpPr>
        <xdr:cNvPr id="8355" name="Line 2211">
          <a:extLst>
            <a:ext uri="{FF2B5EF4-FFF2-40B4-BE49-F238E27FC236}">
              <a16:creationId xmlns:a16="http://schemas.microsoft.com/office/drawing/2014/main" id="{00000000-0008-0000-0000-0000A3200000}"/>
            </a:ext>
          </a:extLst>
        </xdr:cNvPr>
        <xdr:cNvSpPr>
          <a:spLocks noChangeShapeType="1"/>
        </xdr:cNvSpPr>
      </xdr:nvSpPr>
      <xdr:spPr bwMode="auto">
        <a:xfrm>
          <a:off x="1990725" y="2952750"/>
          <a:ext cx="0" cy="533400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17</xdr:row>
      <xdr:rowOff>57150</xdr:rowOff>
    </xdr:from>
    <xdr:to>
      <xdr:col>8</xdr:col>
      <xdr:colOff>142875</xdr:colOff>
      <xdr:row>17</xdr:row>
      <xdr:rowOff>57150</xdr:rowOff>
    </xdr:to>
    <xdr:sp macro="" textlink="">
      <xdr:nvSpPr>
        <xdr:cNvPr id="8356" name="Line 2212">
          <a:extLst>
            <a:ext uri="{FF2B5EF4-FFF2-40B4-BE49-F238E27FC236}">
              <a16:creationId xmlns:a16="http://schemas.microsoft.com/office/drawing/2014/main" id="{00000000-0008-0000-0000-0000A4200000}"/>
            </a:ext>
          </a:extLst>
        </xdr:cNvPr>
        <xdr:cNvSpPr>
          <a:spLocks noChangeShapeType="1"/>
        </xdr:cNvSpPr>
      </xdr:nvSpPr>
      <xdr:spPr bwMode="auto">
        <a:xfrm>
          <a:off x="1990725" y="2952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18</xdr:row>
      <xdr:rowOff>38100</xdr:rowOff>
    </xdr:from>
    <xdr:to>
      <xdr:col>8</xdr:col>
      <xdr:colOff>152400</xdr:colOff>
      <xdr:row>18</xdr:row>
      <xdr:rowOff>38100</xdr:rowOff>
    </xdr:to>
    <xdr:sp macro="" textlink="">
      <xdr:nvSpPr>
        <xdr:cNvPr id="8357" name="Line 2213">
          <a:extLst>
            <a:ext uri="{FF2B5EF4-FFF2-40B4-BE49-F238E27FC236}">
              <a16:creationId xmlns:a16="http://schemas.microsoft.com/office/drawing/2014/main" id="{00000000-0008-0000-0000-0000A5200000}"/>
            </a:ext>
          </a:extLst>
        </xdr:cNvPr>
        <xdr:cNvSpPr>
          <a:spLocks noChangeShapeType="1"/>
        </xdr:cNvSpPr>
      </xdr:nvSpPr>
      <xdr:spPr bwMode="auto">
        <a:xfrm>
          <a:off x="2000250" y="31051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19</xdr:row>
      <xdr:rowOff>19050</xdr:rowOff>
    </xdr:from>
    <xdr:to>
      <xdr:col>8</xdr:col>
      <xdr:colOff>152400</xdr:colOff>
      <xdr:row>19</xdr:row>
      <xdr:rowOff>19050</xdr:rowOff>
    </xdr:to>
    <xdr:sp macro="" textlink="">
      <xdr:nvSpPr>
        <xdr:cNvPr id="8358" name="Line 2214">
          <a:extLst>
            <a:ext uri="{FF2B5EF4-FFF2-40B4-BE49-F238E27FC236}">
              <a16:creationId xmlns:a16="http://schemas.microsoft.com/office/drawing/2014/main" id="{00000000-0008-0000-0000-0000A6200000}"/>
            </a:ext>
          </a:extLst>
        </xdr:cNvPr>
        <xdr:cNvSpPr>
          <a:spLocks noChangeShapeType="1"/>
        </xdr:cNvSpPr>
      </xdr:nvSpPr>
      <xdr:spPr bwMode="auto">
        <a:xfrm>
          <a:off x="2000250" y="3257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20</xdr:row>
      <xdr:rowOff>0</xdr:rowOff>
    </xdr:from>
    <xdr:to>
      <xdr:col>8</xdr:col>
      <xdr:colOff>152400</xdr:colOff>
      <xdr:row>20</xdr:row>
      <xdr:rowOff>0</xdr:rowOff>
    </xdr:to>
    <xdr:sp macro="" textlink="">
      <xdr:nvSpPr>
        <xdr:cNvPr id="8359" name="Line 2215">
          <a:extLst>
            <a:ext uri="{FF2B5EF4-FFF2-40B4-BE49-F238E27FC236}">
              <a16:creationId xmlns:a16="http://schemas.microsoft.com/office/drawing/2014/main" id="{00000000-0008-0000-0000-0000A7200000}"/>
            </a:ext>
          </a:extLst>
        </xdr:cNvPr>
        <xdr:cNvSpPr>
          <a:spLocks noChangeShapeType="1"/>
        </xdr:cNvSpPr>
      </xdr:nvSpPr>
      <xdr:spPr bwMode="auto">
        <a:xfrm>
          <a:off x="2000250" y="3409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20</xdr:row>
      <xdr:rowOff>152400</xdr:rowOff>
    </xdr:from>
    <xdr:to>
      <xdr:col>8</xdr:col>
      <xdr:colOff>142875</xdr:colOff>
      <xdr:row>20</xdr:row>
      <xdr:rowOff>152400</xdr:rowOff>
    </xdr:to>
    <xdr:sp macro="" textlink="">
      <xdr:nvSpPr>
        <xdr:cNvPr id="8360" name="Line 2216">
          <a:extLst>
            <a:ext uri="{FF2B5EF4-FFF2-40B4-BE49-F238E27FC236}">
              <a16:creationId xmlns:a16="http://schemas.microsoft.com/office/drawing/2014/main" id="{00000000-0008-0000-0000-0000A8200000}"/>
            </a:ext>
          </a:extLst>
        </xdr:cNvPr>
        <xdr:cNvSpPr>
          <a:spLocks noChangeShapeType="1"/>
        </xdr:cNvSpPr>
      </xdr:nvSpPr>
      <xdr:spPr bwMode="auto">
        <a:xfrm>
          <a:off x="1990725" y="3562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21</xdr:row>
      <xdr:rowOff>133350</xdr:rowOff>
    </xdr:from>
    <xdr:to>
      <xdr:col>8</xdr:col>
      <xdr:colOff>152400</xdr:colOff>
      <xdr:row>21</xdr:row>
      <xdr:rowOff>133350</xdr:rowOff>
    </xdr:to>
    <xdr:sp macro="" textlink="">
      <xdr:nvSpPr>
        <xdr:cNvPr id="8361" name="Line 2217">
          <a:extLst>
            <a:ext uri="{FF2B5EF4-FFF2-40B4-BE49-F238E27FC236}">
              <a16:creationId xmlns:a16="http://schemas.microsoft.com/office/drawing/2014/main" id="{00000000-0008-0000-0000-0000A9200000}"/>
            </a:ext>
          </a:extLst>
        </xdr:cNvPr>
        <xdr:cNvSpPr>
          <a:spLocks noChangeShapeType="1"/>
        </xdr:cNvSpPr>
      </xdr:nvSpPr>
      <xdr:spPr bwMode="auto">
        <a:xfrm>
          <a:off x="2000250" y="3714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22</xdr:row>
      <xdr:rowOff>114300</xdr:rowOff>
    </xdr:from>
    <xdr:to>
      <xdr:col>8</xdr:col>
      <xdr:colOff>152400</xdr:colOff>
      <xdr:row>22</xdr:row>
      <xdr:rowOff>114300</xdr:rowOff>
    </xdr:to>
    <xdr:sp macro="" textlink="">
      <xdr:nvSpPr>
        <xdr:cNvPr id="8362" name="Line 2218">
          <a:extLst>
            <a:ext uri="{FF2B5EF4-FFF2-40B4-BE49-F238E27FC236}">
              <a16:creationId xmlns:a16="http://schemas.microsoft.com/office/drawing/2014/main" id="{00000000-0008-0000-0000-0000AA200000}"/>
            </a:ext>
          </a:extLst>
        </xdr:cNvPr>
        <xdr:cNvSpPr>
          <a:spLocks noChangeShapeType="1"/>
        </xdr:cNvSpPr>
      </xdr:nvSpPr>
      <xdr:spPr bwMode="auto">
        <a:xfrm>
          <a:off x="2000250" y="38671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23</xdr:row>
      <xdr:rowOff>95250</xdr:rowOff>
    </xdr:from>
    <xdr:to>
      <xdr:col>8</xdr:col>
      <xdr:colOff>152400</xdr:colOff>
      <xdr:row>23</xdr:row>
      <xdr:rowOff>95250</xdr:rowOff>
    </xdr:to>
    <xdr:sp macro="" textlink="">
      <xdr:nvSpPr>
        <xdr:cNvPr id="8363" name="Line 2219">
          <a:extLst>
            <a:ext uri="{FF2B5EF4-FFF2-40B4-BE49-F238E27FC236}">
              <a16:creationId xmlns:a16="http://schemas.microsoft.com/office/drawing/2014/main" id="{00000000-0008-0000-0000-0000AB200000}"/>
            </a:ext>
          </a:extLst>
        </xdr:cNvPr>
        <xdr:cNvSpPr>
          <a:spLocks noChangeShapeType="1"/>
        </xdr:cNvSpPr>
      </xdr:nvSpPr>
      <xdr:spPr bwMode="auto">
        <a:xfrm>
          <a:off x="2000250" y="4019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24</xdr:row>
      <xdr:rowOff>76200</xdr:rowOff>
    </xdr:from>
    <xdr:to>
      <xdr:col>8</xdr:col>
      <xdr:colOff>142875</xdr:colOff>
      <xdr:row>24</xdr:row>
      <xdr:rowOff>76200</xdr:rowOff>
    </xdr:to>
    <xdr:sp macro="" textlink="">
      <xdr:nvSpPr>
        <xdr:cNvPr id="8372" name="Line 2228">
          <a:extLst>
            <a:ext uri="{FF2B5EF4-FFF2-40B4-BE49-F238E27FC236}">
              <a16:creationId xmlns:a16="http://schemas.microsoft.com/office/drawing/2014/main" id="{00000000-0008-0000-0000-0000B4200000}"/>
            </a:ext>
          </a:extLst>
        </xdr:cNvPr>
        <xdr:cNvSpPr>
          <a:spLocks noChangeShapeType="1"/>
        </xdr:cNvSpPr>
      </xdr:nvSpPr>
      <xdr:spPr bwMode="auto">
        <a:xfrm>
          <a:off x="1990725" y="4171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25</xdr:row>
      <xdr:rowOff>57150</xdr:rowOff>
    </xdr:from>
    <xdr:to>
      <xdr:col>8</xdr:col>
      <xdr:colOff>152400</xdr:colOff>
      <xdr:row>25</xdr:row>
      <xdr:rowOff>57150</xdr:rowOff>
    </xdr:to>
    <xdr:sp macro="" textlink="">
      <xdr:nvSpPr>
        <xdr:cNvPr id="8373" name="Line 2229">
          <a:extLst>
            <a:ext uri="{FF2B5EF4-FFF2-40B4-BE49-F238E27FC236}">
              <a16:creationId xmlns:a16="http://schemas.microsoft.com/office/drawing/2014/main" id="{00000000-0008-0000-0000-0000B5200000}"/>
            </a:ext>
          </a:extLst>
        </xdr:cNvPr>
        <xdr:cNvSpPr>
          <a:spLocks noChangeShapeType="1"/>
        </xdr:cNvSpPr>
      </xdr:nvSpPr>
      <xdr:spPr bwMode="auto">
        <a:xfrm>
          <a:off x="2000250" y="4324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26</xdr:row>
      <xdr:rowOff>38100</xdr:rowOff>
    </xdr:from>
    <xdr:to>
      <xdr:col>8</xdr:col>
      <xdr:colOff>152400</xdr:colOff>
      <xdr:row>26</xdr:row>
      <xdr:rowOff>38100</xdr:rowOff>
    </xdr:to>
    <xdr:sp macro="" textlink="">
      <xdr:nvSpPr>
        <xdr:cNvPr id="8374" name="Line 2230">
          <a:extLst>
            <a:ext uri="{FF2B5EF4-FFF2-40B4-BE49-F238E27FC236}">
              <a16:creationId xmlns:a16="http://schemas.microsoft.com/office/drawing/2014/main" id="{00000000-0008-0000-0000-0000B6200000}"/>
            </a:ext>
          </a:extLst>
        </xdr:cNvPr>
        <xdr:cNvSpPr>
          <a:spLocks noChangeShapeType="1"/>
        </xdr:cNvSpPr>
      </xdr:nvSpPr>
      <xdr:spPr bwMode="auto">
        <a:xfrm>
          <a:off x="2000250" y="4476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27</xdr:row>
      <xdr:rowOff>19050</xdr:rowOff>
    </xdr:from>
    <xdr:to>
      <xdr:col>8</xdr:col>
      <xdr:colOff>152400</xdr:colOff>
      <xdr:row>27</xdr:row>
      <xdr:rowOff>19050</xdr:rowOff>
    </xdr:to>
    <xdr:sp macro="" textlink="">
      <xdr:nvSpPr>
        <xdr:cNvPr id="8375" name="Line 2231">
          <a:extLst>
            <a:ext uri="{FF2B5EF4-FFF2-40B4-BE49-F238E27FC236}">
              <a16:creationId xmlns:a16="http://schemas.microsoft.com/office/drawing/2014/main" id="{00000000-0008-0000-0000-0000B7200000}"/>
            </a:ext>
          </a:extLst>
        </xdr:cNvPr>
        <xdr:cNvSpPr>
          <a:spLocks noChangeShapeType="1"/>
        </xdr:cNvSpPr>
      </xdr:nvSpPr>
      <xdr:spPr bwMode="auto">
        <a:xfrm>
          <a:off x="2000250" y="46291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123825</xdr:colOff>
      <xdr:row>28</xdr:row>
      <xdr:rowOff>0</xdr:rowOff>
    </xdr:from>
    <xdr:to>
      <xdr:col>8</xdr:col>
      <xdr:colOff>142875</xdr:colOff>
      <xdr:row>28</xdr:row>
      <xdr:rowOff>0</xdr:rowOff>
    </xdr:to>
    <xdr:sp macro="" textlink="">
      <xdr:nvSpPr>
        <xdr:cNvPr id="8376" name="Line 2232">
          <a:extLst>
            <a:ext uri="{FF2B5EF4-FFF2-40B4-BE49-F238E27FC236}">
              <a16:creationId xmlns:a16="http://schemas.microsoft.com/office/drawing/2014/main" id="{00000000-0008-0000-0000-0000B8200000}"/>
            </a:ext>
          </a:extLst>
        </xdr:cNvPr>
        <xdr:cNvSpPr>
          <a:spLocks noChangeShapeType="1"/>
        </xdr:cNvSpPr>
      </xdr:nvSpPr>
      <xdr:spPr bwMode="auto">
        <a:xfrm>
          <a:off x="1990725" y="4781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28</xdr:row>
      <xdr:rowOff>152400</xdr:rowOff>
    </xdr:from>
    <xdr:to>
      <xdr:col>8</xdr:col>
      <xdr:colOff>152400</xdr:colOff>
      <xdr:row>28</xdr:row>
      <xdr:rowOff>152400</xdr:rowOff>
    </xdr:to>
    <xdr:sp macro="" textlink="">
      <xdr:nvSpPr>
        <xdr:cNvPr id="8377" name="Line 2233">
          <a:extLst>
            <a:ext uri="{FF2B5EF4-FFF2-40B4-BE49-F238E27FC236}">
              <a16:creationId xmlns:a16="http://schemas.microsoft.com/office/drawing/2014/main" id="{00000000-0008-0000-0000-0000B9200000}"/>
            </a:ext>
          </a:extLst>
        </xdr:cNvPr>
        <xdr:cNvSpPr>
          <a:spLocks noChangeShapeType="1"/>
        </xdr:cNvSpPr>
      </xdr:nvSpPr>
      <xdr:spPr bwMode="auto">
        <a:xfrm>
          <a:off x="2000250" y="4933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29</xdr:row>
      <xdr:rowOff>133350</xdr:rowOff>
    </xdr:from>
    <xdr:to>
      <xdr:col>8</xdr:col>
      <xdr:colOff>152400</xdr:colOff>
      <xdr:row>29</xdr:row>
      <xdr:rowOff>133350</xdr:rowOff>
    </xdr:to>
    <xdr:sp macro="" textlink="">
      <xdr:nvSpPr>
        <xdr:cNvPr id="8378" name="Line 2234">
          <a:extLst>
            <a:ext uri="{FF2B5EF4-FFF2-40B4-BE49-F238E27FC236}">
              <a16:creationId xmlns:a16="http://schemas.microsoft.com/office/drawing/2014/main" id="{00000000-0008-0000-0000-0000BA200000}"/>
            </a:ext>
          </a:extLst>
        </xdr:cNvPr>
        <xdr:cNvSpPr>
          <a:spLocks noChangeShapeType="1"/>
        </xdr:cNvSpPr>
      </xdr:nvSpPr>
      <xdr:spPr bwMode="auto">
        <a:xfrm>
          <a:off x="2000250" y="5086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30</xdr:row>
      <xdr:rowOff>114300</xdr:rowOff>
    </xdr:from>
    <xdr:to>
      <xdr:col>8</xdr:col>
      <xdr:colOff>152400</xdr:colOff>
      <xdr:row>30</xdr:row>
      <xdr:rowOff>114300</xdr:rowOff>
    </xdr:to>
    <xdr:sp macro="" textlink="">
      <xdr:nvSpPr>
        <xdr:cNvPr id="8379" name="Line 2235">
          <a:extLst>
            <a:ext uri="{FF2B5EF4-FFF2-40B4-BE49-F238E27FC236}">
              <a16:creationId xmlns:a16="http://schemas.microsoft.com/office/drawing/2014/main" id="{00000000-0008-0000-0000-0000BB200000}"/>
            </a:ext>
          </a:extLst>
        </xdr:cNvPr>
        <xdr:cNvSpPr>
          <a:spLocks noChangeShapeType="1"/>
        </xdr:cNvSpPr>
      </xdr:nvSpPr>
      <xdr:spPr bwMode="auto">
        <a:xfrm>
          <a:off x="2000250" y="5238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31</xdr:row>
      <xdr:rowOff>104775</xdr:rowOff>
    </xdr:from>
    <xdr:to>
      <xdr:col>8</xdr:col>
      <xdr:colOff>152400</xdr:colOff>
      <xdr:row>31</xdr:row>
      <xdr:rowOff>104775</xdr:rowOff>
    </xdr:to>
    <xdr:sp macro="" textlink="">
      <xdr:nvSpPr>
        <xdr:cNvPr id="8380" name="Line 2236">
          <a:extLst>
            <a:ext uri="{FF2B5EF4-FFF2-40B4-BE49-F238E27FC236}">
              <a16:creationId xmlns:a16="http://schemas.microsoft.com/office/drawing/2014/main" id="{00000000-0008-0000-0000-0000BC200000}"/>
            </a:ext>
          </a:extLst>
        </xdr:cNvPr>
        <xdr:cNvSpPr>
          <a:spLocks noChangeShapeType="1"/>
        </xdr:cNvSpPr>
      </xdr:nvSpPr>
      <xdr:spPr bwMode="auto">
        <a:xfrm>
          <a:off x="2000250" y="5400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32</xdr:row>
      <xdr:rowOff>85725</xdr:rowOff>
    </xdr:from>
    <xdr:to>
      <xdr:col>8</xdr:col>
      <xdr:colOff>161925</xdr:colOff>
      <xdr:row>32</xdr:row>
      <xdr:rowOff>85725</xdr:rowOff>
    </xdr:to>
    <xdr:sp macro="" textlink="">
      <xdr:nvSpPr>
        <xdr:cNvPr id="8381" name="Line 2237">
          <a:extLst>
            <a:ext uri="{FF2B5EF4-FFF2-40B4-BE49-F238E27FC236}">
              <a16:creationId xmlns:a16="http://schemas.microsoft.com/office/drawing/2014/main" id="{00000000-0008-0000-0000-0000BD200000}"/>
            </a:ext>
          </a:extLst>
        </xdr:cNvPr>
        <xdr:cNvSpPr>
          <a:spLocks noChangeShapeType="1"/>
        </xdr:cNvSpPr>
      </xdr:nvSpPr>
      <xdr:spPr bwMode="auto">
        <a:xfrm>
          <a:off x="2009775" y="55530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33</xdr:row>
      <xdr:rowOff>66675</xdr:rowOff>
    </xdr:from>
    <xdr:to>
      <xdr:col>8</xdr:col>
      <xdr:colOff>161925</xdr:colOff>
      <xdr:row>33</xdr:row>
      <xdr:rowOff>66675</xdr:rowOff>
    </xdr:to>
    <xdr:sp macro="" textlink="">
      <xdr:nvSpPr>
        <xdr:cNvPr id="8382" name="Line 2238">
          <a:extLst>
            <a:ext uri="{FF2B5EF4-FFF2-40B4-BE49-F238E27FC236}">
              <a16:creationId xmlns:a16="http://schemas.microsoft.com/office/drawing/2014/main" id="{00000000-0008-0000-0000-0000BE200000}"/>
            </a:ext>
          </a:extLst>
        </xdr:cNvPr>
        <xdr:cNvSpPr>
          <a:spLocks noChangeShapeType="1"/>
        </xdr:cNvSpPr>
      </xdr:nvSpPr>
      <xdr:spPr bwMode="auto">
        <a:xfrm>
          <a:off x="2009775" y="57054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34</xdr:row>
      <xdr:rowOff>47625</xdr:rowOff>
    </xdr:from>
    <xdr:to>
      <xdr:col>8</xdr:col>
      <xdr:colOff>161925</xdr:colOff>
      <xdr:row>34</xdr:row>
      <xdr:rowOff>47625</xdr:rowOff>
    </xdr:to>
    <xdr:sp macro="" textlink="">
      <xdr:nvSpPr>
        <xdr:cNvPr id="8383" name="Line 2239">
          <a:extLst>
            <a:ext uri="{FF2B5EF4-FFF2-40B4-BE49-F238E27FC236}">
              <a16:creationId xmlns:a16="http://schemas.microsoft.com/office/drawing/2014/main" id="{00000000-0008-0000-0000-0000BF200000}"/>
            </a:ext>
          </a:extLst>
        </xdr:cNvPr>
        <xdr:cNvSpPr>
          <a:spLocks noChangeShapeType="1"/>
        </xdr:cNvSpPr>
      </xdr:nvSpPr>
      <xdr:spPr bwMode="auto">
        <a:xfrm>
          <a:off x="2009775" y="58578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35</xdr:row>
      <xdr:rowOff>28575</xdr:rowOff>
    </xdr:from>
    <xdr:to>
      <xdr:col>8</xdr:col>
      <xdr:colOff>152400</xdr:colOff>
      <xdr:row>35</xdr:row>
      <xdr:rowOff>28575</xdr:rowOff>
    </xdr:to>
    <xdr:sp macro="" textlink="">
      <xdr:nvSpPr>
        <xdr:cNvPr id="8384" name="Line 2240">
          <a:extLst>
            <a:ext uri="{FF2B5EF4-FFF2-40B4-BE49-F238E27FC236}">
              <a16:creationId xmlns:a16="http://schemas.microsoft.com/office/drawing/2014/main" id="{00000000-0008-0000-0000-0000C0200000}"/>
            </a:ext>
          </a:extLst>
        </xdr:cNvPr>
        <xdr:cNvSpPr>
          <a:spLocks noChangeShapeType="1"/>
        </xdr:cNvSpPr>
      </xdr:nvSpPr>
      <xdr:spPr bwMode="auto">
        <a:xfrm>
          <a:off x="2000250" y="60102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36</xdr:row>
      <xdr:rowOff>9525</xdr:rowOff>
    </xdr:from>
    <xdr:to>
      <xdr:col>8</xdr:col>
      <xdr:colOff>161925</xdr:colOff>
      <xdr:row>36</xdr:row>
      <xdr:rowOff>9525</xdr:rowOff>
    </xdr:to>
    <xdr:sp macro="" textlink="">
      <xdr:nvSpPr>
        <xdr:cNvPr id="8385" name="Line 2241">
          <a:extLst>
            <a:ext uri="{FF2B5EF4-FFF2-40B4-BE49-F238E27FC236}">
              <a16:creationId xmlns:a16="http://schemas.microsoft.com/office/drawing/2014/main" id="{00000000-0008-0000-0000-0000C1200000}"/>
            </a:ext>
          </a:extLst>
        </xdr:cNvPr>
        <xdr:cNvSpPr>
          <a:spLocks noChangeShapeType="1"/>
        </xdr:cNvSpPr>
      </xdr:nvSpPr>
      <xdr:spPr bwMode="auto">
        <a:xfrm>
          <a:off x="2009775" y="6162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36</xdr:row>
      <xdr:rowOff>161925</xdr:rowOff>
    </xdr:from>
    <xdr:to>
      <xdr:col>8</xdr:col>
      <xdr:colOff>161925</xdr:colOff>
      <xdr:row>36</xdr:row>
      <xdr:rowOff>161925</xdr:rowOff>
    </xdr:to>
    <xdr:sp macro="" textlink="">
      <xdr:nvSpPr>
        <xdr:cNvPr id="8386" name="Line 2242">
          <a:extLst>
            <a:ext uri="{FF2B5EF4-FFF2-40B4-BE49-F238E27FC236}">
              <a16:creationId xmlns:a16="http://schemas.microsoft.com/office/drawing/2014/main" id="{00000000-0008-0000-0000-0000C2200000}"/>
            </a:ext>
          </a:extLst>
        </xdr:cNvPr>
        <xdr:cNvSpPr>
          <a:spLocks noChangeShapeType="1"/>
        </xdr:cNvSpPr>
      </xdr:nvSpPr>
      <xdr:spPr bwMode="auto">
        <a:xfrm>
          <a:off x="2009775" y="63150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37</xdr:row>
      <xdr:rowOff>142875</xdr:rowOff>
    </xdr:from>
    <xdr:to>
      <xdr:col>8</xdr:col>
      <xdr:colOff>161925</xdr:colOff>
      <xdr:row>37</xdr:row>
      <xdr:rowOff>142875</xdr:rowOff>
    </xdr:to>
    <xdr:sp macro="" textlink="">
      <xdr:nvSpPr>
        <xdr:cNvPr id="8387" name="Line 2243">
          <a:extLst>
            <a:ext uri="{FF2B5EF4-FFF2-40B4-BE49-F238E27FC236}">
              <a16:creationId xmlns:a16="http://schemas.microsoft.com/office/drawing/2014/main" id="{00000000-0008-0000-0000-0000C3200000}"/>
            </a:ext>
          </a:extLst>
        </xdr:cNvPr>
        <xdr:cNvSpPr>
          <a:spLocks noChangeShapeType="1"/>
        </xdr:cNvSpPr>
      </xdr:nvSpPr>
      <xdr:spPr bwMode="auto">
        <a:xfrm>
          <a:off x="2009775" y="64674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38</xdr:row>
      <xdr:rowOff>123825</xdr:rowOff>
    </xdr:from>
    <xdr:to>
      <xdr:col>8</xdr:col>
      <xdr:colOff>152400</xdr:colOff>
      <xdr:row>38</xdr:row>
      <xdr:rowOff>123825</xdr:rowOff>
    </xdr:to>
    <xdr:sp macro="" textlink="">
      <xdr:nvSpPr>
        <xdr:cNvPr id="8388" name="Line 2244">
          <a:extLst>
            <a:ext uri="{FF2B5EF4-FFF2-40B4-BE49-F238E27FC236}">
              <a16:creationId xmlns:a16="http://schemas.microsoft.com/office/drawing/2014/main" id="{00000000-0008-0000-0000-0000C4200000}"/>
            </a:ext>
          </a:extLst>
        </xdr:cNvPr>
        <xdr:cNvSpPr>
          <a:spLocks noChangeShapeType="1"/>
        </xdr:cNvSpPr>
      </xdr:nvSpPr>
      <xdr:spPr bwMode="auto">
        <a:xfrm>
          <a:off x="2000250" y="66198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39</xdr:row>
      <xdr:rowOff>104775</xdr:rowOff>
    </xdr:from>
    <xdr:to>
      <xdr:col>8</xdr:col>
      <xdr:colOff>161925</xdr:colOff>
      <xdr:row>39</xdr:row>
      <xdr:rowOff>104775</xdr:rowOff>
    </xdr:to>
    <xdr:sp macro="" textlink="">
      <xdr:nvSpPr>
        <xdr:cNvPr id="8389" name="Line 2245">
          <a:extLst>
            <a:ext uri="{FF2B5EF4-FFF2-40B4-BE49-F238E27FC236}">
              <a16:creationId xmlns:a16="http://schemas.microsoft.com/office/drawing/2014/main" id="{00000000-0008-0000-0000-0000C5200000}"/>
            </a:ext>
          </a:extLst>
        </xdr:cNvPr>
        <xdr:cNvSpPr>
          <a:spLocks noChangeShapeType="1"/>
        </xdr:cNvSpPr>
      </xdr:nvSpPr>
      <xdr:spPr bwMode="auto">
        <a:xfrm>
          <a:off x="2009775" y="67722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40</xdr:row>
      <xdr:rowOff>85725</xdr:rowOff>
    </xdr:from>
    <xdr:to>
      <xdr:col>8</xdr:col>
      <xdr:colOff>161925</xdr:colOff>
      <xdr:row>40</xdr:row>
      <xdr:rowOff>85725</xdr:rowOff>
    </xdr:to>
    <xdr:sp macro="" textlink="">
      <xdr:nvSpPr>
        <xdr:cNvPr id="8390" name="Line 2246">
          <a:extLst>
            <a:ext uri="{FF2B5EF4-FFF2-40B4-BE49-F238E27FC236}">
              <a16:creationId xmlns:a16="http://schemas.microsoft.com/office/drawing/2014/main" id="{00000000-0008-0000-0000-0000C6200000}"/>
            </a:ext>
          </a:extLst>
        </xdr:cNvPr>
        <xdr:cNvSpPr>
          <a:spLocks noChangeShapeType="1"/>
        </xdr:cNvSpPr>
      </xdr:nvSpPr>
      <xdr:spPr bwMode="auto">
        <a:xfrm>
          <a:off x="2009775" y="6924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41</xdr:row>
      <xdr:rowOff>66675</xdr:rowOff>
    </xdr:from>
    <xdr:to>
      <xdr:col>8</xdr:col>
      <xdr:colOff>161925</xdr:colOff>
      <xdr:row>41</xdr:row>
      <xdr:rowOff>66675</xdr:rowOff>
    </xdr:to>
    <xdr:sp macro="" textlink="">
      <xdr:nvSpPr>
        <xdr:cNvPr id="8391" name="Line 2247">
          <a:extLst>
            <a:ext uri="{FF2B5EF4-FFF2-40B4-BE49-F238E27FC236}">
              <a16:creationId xmlns:a16="http://schemas.microsoft.com/office/drawing/2014/main" id="{00000000-0008-0000-0000-0000C7200000}"/>
            </a:ext>
          </a:extLst>
        </xdr:cNvPr>
        <xdr:cNvSpPr>
          <a:spLocks noChangeShapeType="1"/>
        </xdr:cNvSpPr>
      </xdr:nvSpPr>
      <xdr:spPr bwMode="auto">
        <a:xfrm>
          <a:off x="2009775" y="70770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42</xdr:row>
      <xdr:rowOff>47625</xdr:rowOff>
    </xdr:from>
    <xdr:to>
      <xdr:col>8</xdr:col>
      <xdr:colOff>152400</xdr:colOff>
      <xdr:row>42</xdr:row>
      <xdr:rowOff>47625</xdr:rowOff>
    </xdr:to>
    <xdr:sp macro="" textlink="">
      <xdr:nvSpPr>
        <xdr:cNvPr id="8392" name="Line 2248">
          <a:extLst>
            <a:ext uri="{FF2B5EF4-FFF2-40B4-BE49-F238E27FC236}">
              <a16:creationId xmlns:a16="http://schemas.microsoft.com/office/drawing/2014/main" id="{00000000-0008-0000-0000-0000C8200000}"/>
            </a:ext>
          </a:extLst>
        </xdr:cNvPr>
        <xdr:cNvSpPr>
          <a:spLocks noChangeShapeType="1"/>
        </xdr:cNvSpPr>
      </xdr:nvSpPr>
      <xdr:spPr bwMode="auto">
        <a:xfrm>
          <a:off x="2000250" y="72294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43</xdr:row>
      <xdr:rowOff>28575</xdr:rowOff>
    </xdr:from>
    <xdr:to>
      <xdr:col>8</xdr:col>
      <xdr:colOff>161925</xdr:colOff>
      <xdr:row>43</xdr:row>
      <xdr:rowOff>28575</xdr:rowOff>
    </xdr:to>
    <xdr:sp macro="" textlink="">
      <xdr:nvSpPr>
        <xdr:cNvPr id="8393" name="Line 2249">
          <a:extLst>
            <a:ext uri="{FF2B5EF4-FFF2-40B4-BE49-F238E27FC236}">
              <a16:creationId xmlns:a16="http://schemas.microsoft.com/office/drawing/2014/main" id="{00000000-0008-0000-0000-0000C9200000}"/>
            </a:ext>
          </a:extLst>
        </xdr:cNvPr>
        <xdr:cNvSpPr>
          <a:spLocks noChangeShapeType="1"/>
        </xdr:cNvSpPr>
      </xdr:nvSpPr>
      <xdr:spPr bwMode="auto">
        <a:xfrm>
          <a:off x="2009775" y="73818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44</xdr:row>
      <xdr:rowOff>9525</xdr:rowOff>
    </xdr:from>
    <xdr:to>
      <xdr:col>8</xdr:col>
      <xdr:colOff>161925</xdr:colOff>
      <xdr:row>44</xdr:row>
      <xdr:rowOff>9525</xdr:rowOff>
    </xdr:to>
    <xdr:sp macro="" textlink="">
      <xdr:nvSpPr>
        <xdr:cNvPr id="8394" name="Line 2250">
          <a:extLst>
            <a:ext uri="{FF2B5EF4-FFF2-40B4-BE49-F238E27FC236}">
              <a16:creationId xmlns:a16="http://schemas.microsoft.com/office/drawing/2014/main" id="{00000000-0008-0000-0000-0000CA200000}"/>
            </a:ext>
          </a:extLst>
        </xdr:cNvPr>
        <xdr:cNvSpPr>
          <a:spLocks noChangeShapeType="1"/>
        </xdr:cNvSpPr>
      </xdr:nvSpPr>
      <xdr:spPr bwMode="auto">
        <a:xfrm>
          <a:off x="2009775" y="75342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44</xdr:row>
      <xdr:rowOff>161925</xdr:rowOff>
    </xdr:from>
    <xdr:to>
      <xdr:col>8</xdr:col>
      <xdr:colOff>161925</xdr:colOff>
      <xdr:row>44</xdr:row>
      <xdr:rowOff>161925</xdr:rowOff>
    </xdr:to>
    <xdr:sp macro="" textlink="">
      <xdr:nvSpPr>
        <xdr:cNvPr id="8395" name="Line 2251">
          <a:extLst>
            <a:ext uri="{FF2B5EF4-FFF2-40B4-BE49-F238E27FC236}">
              <a16:creationId xmlns:a16="http://schemas.microsoft.com/office/drawing/2014/main" id="{00000000-0008-0000-0000-0000CB200000}"/>
            </a:ext>
          </a:extLst>
        </xdr:cNvPr>
        <xdr:cNvSpPr>
          <a:spLocks noChangeShapeType="1"/>
        </xdr:cNvSpPr>
      </xdr:nvSpPr>
      <xdr:spPr bwMode="auto">
        <a:xfrm>
          <a:off x="2009775" y="7686675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45</xdr:row>
      <xdr:rowOff>133350</xdr:rowOff>
    </xdr:from>
    <xdr:to>
      <xdr:col>8</xdr:col>
      <xdr:colOff>161925</xdr:colOff>
      <xdr:row>45</xdr:row>
      <xdr:rowOff>133350</xdr:rowOff>
    </xdr:to>
    <xdr:sp macro="" textlink="">
      <xdr:nvSpPr>
        <xdr:cNvPr id="8396" name="Line 2252">
          <a:extLst>
            <a:ext uri="{FF2B5EF4-FFF2-40B4-BE49-F238E27FC236}">
              <a16:creationId xmlns:a16="http://schemas.microsoft.com/office/drawing/2014/main" id="{00000000-0008-0000-0000-0000CC200000}"/>
            </a:ext>
          </a:extLst>
        </xdr:cNvPr>
        <xdr:cNvSpPr>
          <a:spLocks noChangeShapeType="1"/>
        </xdr:cNvSpPr>
      </xdr:nvSpPr>
      <xdr:spPr bwMode="auto">
        <a:xfrm>
          <a:off x="2009775" y="78295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133350</xdr:colOff>
      <xdr:row>46</xdr:row>
      <xdr:rowOff>114300</xdr:rowOff>
    </xdr:from>
    <xdr:to>
      <xdr:col>8</xdr:col>
      <xdr:colOff>152400</xdr:colOff>
      <xdr:row>46</xdr:row>
      <xdr:rowOff>114300</xdr:rowOff>
    </xdr:to>
    <xdr:sp macro="" textlink="">
      <xdr:nvSpPr>
        <xdr:cNvPr id="8397" name="Line 2253">
          <a:extLst>
            <a:ext uri="{FF2B5EF4-FFF2-40B4-BE49-F238E27FC236}">
              <a16:creationId xmlns:a16="http://schemas.microsoft.com/office/drawing/2014/main" id="{00000000-0008-0000-0000-0000CD200000}"/>
            </a:ext>
          </a:extLst>
        </xdr:cNvPr>
        <xdr:cNvSpPr>
          <a:spLocks noChangeShapeType="1"/>
        </xdr:cNvSpPr>
      </xdr:nvSpPr>
      <xdr:spPr bwMode="auto">
        <a:xfrm>
          <a:off x="2000250" y="79819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47</xdr:row>
      <xdr:rowOff>95250</xdr:rowOff>
    </xdr:from>
    <xdr:to>
      <xdr:col>8</xdr:col>
      <xdr:colOff>161925</xdr:colOff>
      <xdr:row>47</xdr:row>
      <xdr:rowOff>95250</xdr:rowOff>
    </xdr:to>
    <xdr:sp macro="" textlink="">
      <xdr:nvSpPr>
        <xdr:cNvPr id="8398" name="Line 2254">
          <a:extLst>
            <a:ext uri="{FF2B5EF4-FFF2-40B4-BE49-F238E27FC236}">
              <a16:creationId xmlns:a16="http://schemas.microsoft.com/office/drawing/2014/main" id="{00000000-0008-0000-0000-0000CE200000}"/>
            </a:ext>
          </a:extLst>
        </xdr:cNvPr>
        <xdr:cNvSpPr>
          <a:spLocks noChangeShapeType="1"/>
        </xdr:cNvSpPr>
      </xdr:nvSpPr>
      <xdr:spPr bwMode="auto">
        <a:xfrm>
          <a:off x="2009775" y="81343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142875</xdr:colOff>
      <xdr:row>48</xdr:row>
      <xdr:rowOff>76200</xdr:rowOff>
    </xdr:from>
    <xdr:to>
      <xdr:col>8</xdr:col>
      <xdr:colOff>161925</xdr:colOff>
      <xdr:row>48</xdr:row>
      <xdr:rowOff>76200</xdr:rowOff>
    </xdr:to>
    <xdr:sp macro="" textlink="">
      <xdr:nvSpPr>
        <xdr:cNvPr id="8399" name="Line 2255">
          <a:extLst>
            <a:ext uri="{FF2B5EF4-FFF2-40B4-BE49-F238E27FC236}">
              <a16:creationId xmlns:a16="http://schemas.microsoft.com/office/drawing/2014/main" id="{00000000-0008-0000-0000-0000CF200000}"/>
            </a:ext>
          </a:extLst>
        </xdr:cNvPr>
        <xdr:cNvSpPr>
          <a:spLocks noChangeShapeType="1"/>
        </xdr:cNvSpPr>
      </xdr:nvSpPr>
      <xdr:spPr bwMode="auto">
        <a:xfrm>
          <a:off x="2009775" y="8286750"/>
          <a:ext cx="2857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57150</xdr:colOff>
      <xdr:row>26</xdr:row>
      <xdr:rowOff>161925</xdr:rowOff>
    </xdr:from>
    <xdr:to>
      <xdr:col>8</xdr:col>
      <xdr:colOff>9525</xdr:colOff>
      <xdr:row>38</xdr:row>
      <xdr:rowOff>161925</xdr:rowOff>
    </xdr:to>
    <xdr:sp macro="" textlink="">
      <xdr:nvSpPr>
        <xdr:cNvPr id="8400" name="Rectangle 2256">
          <a:extLst>
            <a:ext uri="{FF2B5EF4-FFF2-40B4-BE49-F238E27FC236}">
              <a16:creationId xmlns:a16="http://schemas.microsoft.com/office/drawing/2014/main" id="{00000000-0008-0000-0000-0000D0200000}"/>
            </a:ext>
          </a:extLst>
        </xdr:cNvPr>
        <xdr:cNvSpPr>
          <a:spLocks noChangeArrowheads="1"/>
        </xdr:cNvSpPr>
      </xdr:nvSpPr>
      <xdr:spPr bwMode="auto">
        <a:xfrm>
          <a:off x="1657350" y="4600575"/>
          <a:ext cx="485775" cy="2057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chemeClr val="tx1"/>
              </a:solidFill>
              <a:latin typeface="Arial"/>
              <a:cs typeface="Arial"/>
            </a:rPr>
            <a:t>3- Atrito lateral na estaca</a:t>
          </a:r>
        </a:p>
      </xdr:txBody>
    </xdr:sp>
    <xdr:clientData/>
  </xdr:twoCellAnchor>
  <xdr:twoCellAnchor>
    <xdr:from>
      <xdr:col>9</xdr:col>
      <xdr:colOff>9525</xdr:colOff>
      <xdr:row>50</xdr:row>
      <xdr:rowOff>133350</xdr:rowOff>
    </xdr:from>
    <xdr:to>
      <xdr:col>11</xdr:col>
      <xdr:colOff>133350</xdr:colOff>
      <xdr:row>51</xdr:row>
      <xdr:rowOff>142875</xdr:rowOff>
    </xdr:to>
    <xdr:sp macro="" textlink="">
      <xdr:nvSpPr>
        <xdr:cNvPr id="8501" name="Oval 2357">
          <a:extLst>
            <a:ext uri="{FF2B5EF4-FFF2-40B4-BE49-F238E27FC236}">
              <a16:creationId xmlns:a16="http://schemas.microsoft.com/office/drawing/2014/main" id="{00000000-0008-0000-0000-000035210000}"/>
            </a:ext>
          </a:extLst>
        </xdr:cNvPr>
        <xdr:cNvSpPr>
          <a:spLocks noChangeArrowheads="1"/>
        </xdr:cNvSpPr>
      </xdr:nvSpPr>
      <xdr:spPr bwMode="auto">
        <a:xfrm>
          <a:off x="2409825" y="8686800"/>
          <a:ext cx="657225" cy="180975"/>
        </a:xfrm>
        <a:prstGeom prst="ellipse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767676" mc:Ignorable="a14" a14:legacySpreadsheetColorIndex="9">
                <a:gamma/>
                <a:shade val="46275"/>
                <a:invGamma/>
              </a:srgbClr>
            </a:gs>
          </a:gsLst>
          <a:lin ang="0" scaled="1"/>
        </a:gradFill>
        <a:ln w="317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9525</xdr:colOff>
      <xdr:row>50</xdr:row>
      <xdr:rowOff>66675</xdr:rowOff>
    </xdr:from>
    <xdr:to>
      <xdr:col>11</xdr:col>
      <xdr:colOff>133350</xdr:colOff>
      <xdr:row>51</xdr:row>
      <xdr:rowOff>57150</xdr:rowOff>
    </xdr:to>
    <xdr:sp macro="" textlink="">
      <xdr:nvSpPr>
        <xdr:cNvPr id="8502" name="Rectangle 2358">
          <a:extLst>
            <a:ext uri="{FF2B5EF4-FFF2-40B4-BE49-F238E27FC236}">
              <a16:creationId xmlns:a16="http://schemas.microsoft.com/office/drawing/2014/main" id="{00000000-0008-0000-0000-000036210000}"/>
            </a:ext>
          </a:extLst>
        </xdr:cNvPr>
        <xdr:cNvSpPr>
          <a:spLocks noChangeArrowheads="1"/>
        </xdr:cNvSpPr>
      </xdr:nvSpPr>
      <xdr:spPr bwMode="auto">
        <a:xfrm>
          <a:off x="2409825" y="8620125"/>
          <a:ext cx="657225" cy="1619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767676" mc:Ignorable="a14" a14:legacySpreadsheetColorIndex="9">
                <a:gamma/>
                <a:shade val="46275"/>
                <a:invGamma/>
              </a:srgbClr>
            </a:gs>
          </a:gsLst>
          <a:lin ang="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12</xdr:col>
      <xdr:colOff>247650</xdr:colOff>
      <xdr:row>19</xdr:row>
      <xdr:rowOff>114300</xdr:rowOff>
    </xdr:from>
    <xdr:to>
      <xdr:col>24</xdr:col>
      <xdr:colOff>238125</xdr:colOff>
      <xdr:row>52</xdr:row>
      <xdr:rowOff>0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3448050" y="3352800"/>
          <a:ext cx="3190875" cy="5543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0"/>
          </a:srgbClr>
        </a:solidFill>
        <a:ln w="317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151719</xdr:colOff>
      <xdr:row>16</xdr:row>
      <xdr:rowOff>0</xdr:rowOff>
    </xdr:from>
    <xdr:to>
      <xdr:col>30</xdr:col>
      <xdr:colOff>248701</xdr:colOff>
      <xdr:row>52</xdr:row>
      <xdr:rowOff>0</xdr:rowOff>
    </xdr:to>
    <xdr:sp macro="" textlink="">
      <xdr:nvSpPr>
        <xdr:cNvPr id="135" name="Rectangle 2038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rrowheads="1"/>
        </xdr:cNvSpPr>
      </xdr:nvSpPr>
      <xdr:spPr bwMode="auto">
        <a:xfrm>
          <a:off x="7399378" y="2753591"/>
          <a:ext cx="365414" cy="6234545"/>
        </a:xfrm>
        <a:prstGeom prst="rect">
          <a:avLst/>
        </a:prstGeom>
        <a:gradFill flip="none" rotWithShape="1">
          <a:gsLst>
            <a:gs pos="0">
              <a:schemeClr val="bg1">
                <a:lumMod val="62000"/>
              </a:schemeClr>
            </a:gs>
            <a:gs pos="48000">
              <a:schemeClr val="bg1">
                <a:lumMod val="86000"/>
              </a:schemeClr>
            </a:gs>
            <a:gs pos="100000">
              <a:schemeClr val="bg1">
                <a:lumMod val="79000"/>
              </a:schemeClr>
            </a:gs>
          </a:gsLst>
          <a:lin ang="0" scaled="1"/>
          <a:tileRect/>
        </a:gradFill>
        <a:ln w="15875">
          <a:solidFill>
            <a:schemeClr val="tx1"/>
          </a:solidFill>
        </a:ln>
        <a:effectLst/>
      </xdr:spPr>
    </xdr:sp>
    <xdr:clientData/>
  </xdr:twoCellAnchor>
  <xdr:twoCellAnchor>
    <xdr:from>
      <xdr:col>40</xdr:col>
      <xdr:colOff>247649</xdr:colOff>
      <xdr:row>12</xdr:row>
      <xdr:rowOff>74519</xdr:rowOff>
    </xdr:from>
    <xdr:to>
      <xdr:col>48</xdr:col>
      <xdr:colOff>95249</xdr:colOff>
      <xdr:row>53</xdr:row>
      <xdr:rowOff>104775</xdr:rowOff>
    </xdr:to>
    <xdr:graphicFrame macro="">
      <xdr:nvGraphicFramePr>
        <xdr:cNvPr id="45" name="Gráfico 44" title="Momeno máximo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146467</xdr:colOff>
      <xdr:row>15</xdr:row>
      <xdr:rowOff>119924</xdr:rowOff>
    </xdr:from>
    <xdr:to>
      <xdr:col>30</xdr:col>
      <xdr:colOff>251937</xdr:colOff>
      <xdr:row>16</xdr:row>
      <xdr:rowOff>53917</xdr:rowOff>
    </xdr:to>
    <xdr:sp macro="" textlink="">
      <xdr:nvSpPr>
        <xdr:cNvPr id="6" name="Elips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7667623" y="2662919"/>
          <a:ext cx="375045" cy="104724"/>
        </a:xfrm>
        <a:prstGeom prst="ellipse">
          <a:avLst/>
        </a:prstGeom>
        <a:solidFill>
          <a:srgbClr val="D3D3D3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148976</xdr:colOff>
      <xdr:row>51</xdr:row>
      <xdr:rowOff>133351</xdr:rowOff>
    </xdr:from>
    <xdr:to>
      <xdr:col>30</xdr:col>
      <xdr:colOff>245957</xdr:colOff>
      <xdr:row>52</xdr:row>
      <xdr:rowOff>69850</xdr:rowOff>
    </xdr:to>
    <xdr:sp macro="" textlink="">
      <xdr:nvSpPr>
        <xdr:cNvPr id="10" name="Elips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7410388" y="8969189"/>
          <a:ext cx="365922" cy="110190"/>
        </a:xfrm>
        <a:prstGeom prst="ellipse">
          <a:avLst/>
        </a:prstGeom>
        <a:gradFill flip="none" rotWithShape="1">
          <a:gsLst>
            <a:gs pos="0">
              <a:schemeClr val="bg1">
                <a:lumMod val="79000"/>
              </a:schemeClr>
            </a:gs>
            <a:gs pos="50000">
              <a:schemeClr val="bg1">
                <a:lumMod val="85000"/>
              </a:schemeClr>
            </a:gs>
            <a:gs pos="100000">
              <a:schemeClr val="bg1">
                <a:lumMod val="72000"/>
              </a:schemeClr>
            </a:gs>
          </a:gsLst>
          <a:lin ang="10800000" scaled="1"/>
          <a:tileRect/>
        </a:gradFill>
        <a:ln w="317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pt-BR" sz="1100"/>
        </a:p>
      </xdr:txBody>
    </xdr:sp>
    <xdr:clientData/>
  </xdr:twoCellAnchor>
  <xdr:twoCellAnchor>
    <xdr:from>
      <xdr:col>29</xdr:col>
      <xdr:colOff>170432</xdr:colOff>
      <xdr:row>50</xdr:row>
      <xdr:rowOff>142014</xdr:rowOff>
    </xdr:from>
    <xdr:to>
      <xdr:col>30</xdr:col>
      <xdr:colOff>239056</xdr:colOff>
      <xdr:row>52</xdr:row>
      <xdr:rowOff>14775</xdr:rowOff>
    </xdr:to>
    <xdr:sp macro="" textlink="">
      <xdr:nvSpPr>
        <xdr:cNvPr id="141" name="Rectangle 2038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rrowheads="1"/>
        </xdr:cNvSpPr>
      </xdr:nvSpPr>
      <xdr:spPr bwMode="auto">
        <a:xfrm>
          <a:off x="7431844" y="8804161"/>
          <a:ext cx="337565" cy="220143"/>
        </a:xfrm>
        <a:prstGeom prst="rect">
          <a:avLst/>
        </a:prstGeom>
        <a:gradFill flip="none" rotWithShape="1">
          <a:gsLst>
            <a:gs pos="0">
              <a:schemeClr val="bg1">
                <a:lumMod val="68000"/>
              </a:schemeClr>
            </a:gs>
            <a:gs pos="48000">
              <a:schemeClr val="bg1">
                <a:lumMod val="86000"/>
              </a:schemeClr>
            </a:gs>
            <a:gs pos="100000">
              <a:schemeClr val="bg1">
                <a:lumMod val="77000"/>
              </a:schemeClr>
            </a:gs>
          </a:gsLst>
          <a:lin ang="0" scaled="1"/>
          <a:tileRect/>
        </a:gradFill>
        <a:ln w="15875">
          <a:noFill/>
        </a:ln>
        <a:effectLst/>
      </xdr:spPr>
    </xdr:sp>
    <xdr:clientData/>
  </xdr:twoCellAnchor>
  <xdr:twoCellAnchor>
    <xdr:from>
      <xdr:col>27</xdr:col>
      <xdr:colOff>231322</xdr:colOff>
      <xdr:row>52</xdr:row>
      <xdr:rowOff>16556</xdr:rowOff>
    </xdr:from>
    <xdr:to>
      <xdr:col>29</xdr:col>
      <xdr:colOff>148976</xdr:colOff>
      <xdr:row>52</xdr:row>
      <xdr:rowOff>17009</xdr:rowOff>
    </xdr:to>
    <xdr:cxnSp macro="">
      <xdr:nvCxnSpPr>
        <xdr:cNvPr id="19" name="Conector reto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>
          <a:stCxn id="10" idx="2"/>
        </xdr:cNvCxnSpPr>
      </xdr:nvCxnSpPr>
      <xdr:spPr bwMode="auto">
        <a:xfrm flipH="1">
          <a:off x="7130143" y="8847592"/>
          <a:ext cx="448333" cy="453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27</xdr:col>
      <xdr:colOff>215570</xdr:colOff>
      <xdr:row>16</xdr:row>
      <xdr:rowOff>8659</xdr:rowOff>
    </xdr:from>
    <xdr:to>
      <xdr:col>27</xdr:col>
      <xdr:colOff>216481</xdr:colOff>
      <xdr:row>52</xdr:row>
      <xdr:rowOff>35092</xdr:rowOff>
    </xdr:to>
    <xdr:cxnSp macro="">
      <xdr:nvCxnSpPr>
        <xdr:cNvPr id="27" name="Conector de seta reta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CxnSpPr/>
      </xdr:nvCxnSpPr>
      <xdr:spPr bwMode="auto">
        <a:xfrm flipH="1">
          <a:off x="7194797" y="2762250"/>
          <a:ext cx="911" cy="6260978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9050" cap="flat" cmpd="sng" algn="ctr">
          <a:solidFill>
            <a:schemeClr val="tx1"/>
          </a:solidFill>
          <a:prstDash val="solid"/>
          <a:round/>
          <a:headEnd type="arrow"/>
          <a:tailEnd type="arrow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30</xdr:col>
      <xdr:colOff>245957</xdr:colOff>
      <xdr:row>52</xdr:row>
      <xdr:rowOff>9525</xdr:rowOff>
    </xdr:from>
    <xdr:to>
      <xdr:col>42</xdr:col>
      <xdr:colOff>200025</xdr:colOff>
      <xdr:row>52</xdr:row>
      <xdr:rowOff>15876</xdr:rowOff>
    </xdr:to>
    <xdr:cxnSp macro="">
      <xdr:nvCxnSpPr>
        <xdr:cNvPr id="36" name="Conector reto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>
          <a:stCxn id="10" idx="6"/>
        </xdr:cNvCxnSpPr>
      </xdr:nvCxnSpPr>
      <xdr:spPr bwMode="auto">
        <a:xfrm flipV="1">
          <a:off x="7713557" y="8905875"/>
          <a:ext cx="3287818" cy="6351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30</xdr:col>
      <xdr:colOff>47625</xdr:colOff>
      <xdr:row>15</xdr:row>
      <xdr:rowOff>47625</xdr:rowOff>
    </xdr:from>
    <xdr:to>
      <xdr:col>31</xdr:col>
      <xdr:colOff>180975</xdr:colOff>
      <xdr:row>15</xdr:row>
      <xdr:rowOff>47625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 bwMode="auto">
        <a:xfrm>
          <a:off x="7515225" y="2600325"/>
          <a:ext cx="40005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chemeClr val="tx1"/>
          </a:solidFill>
          <a:prstDash val="solid"/>
          <a:round/>
          <a:headEnd type="triangle" w="med" len="sm"/>
          <a:tailEnd type="triangle" w="med" len="sm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30</xdr:col>
      <xdr:colOff>40903</xdr:colOff>
      <xdr:row>12</xdr:row>
      <xdr:rowOff>44262</xdr:rowOff>
    </xdr:from>
    <xdr:to>
      <xdr:col>32</xdr:col>
      <xdr:colOff>69273</xdr:colOff>
      <xdr:row>53</xdr:row>
      <xdr:rowOff>129988</xdr:rowOff>
    </xdr:to>
    <xdr:graphicFrame macro="">
      <xdr:nvGraphicFramePr>
        <xdr:cNvPr id="142" name="Gráfico 141" title="Momeno máximo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47625</xdr:colOff>
      <xdr:row>14</xdr:row>
      <xdr:rowOff>14722</xdr:rowOff>
    </xdr:from>
    <xdr:to>
      <xdr:col>34</xdr:col>
      <xdr:colOff>38101</xdr:colOff>
      <xdr:row>52</xdr:row>
      <xdr:rowOff>135948</xdr:rowOff>
    </xdr:to>
    <xdr:graphicFrame macro="">
      <xdr:nvGraphicFramePr>
        <xdr:cNvPr id="33" name="Gráfico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76200</xdr:colOff>
      <xdr:row>22</xdr:row>
      <xdr:rowOff>9525</xdr:rowOff>
    </xdr:from>
    <xdr:to>
      <xdr:col>24</xdr:col>
      <xdr:colOff>228602</xdr:colOff>
      <xdr:row>35</xdr:row>
      <xdr:rowOff>38100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41</xdr:col>
      <xdr:colOff>38101</xdr:colOff>
      <xdr:row>12</xdr:row>
      <xdr:rowOff>76200</xdr:rowOff>
    </xdr:from>
    <xdr:to>
      <xdr:col>48</xdr:col>
      <xdr:colOff>66675</xdr:colOff>
      <xdr:row>53</xdr:row>
      <xdr:rowOff>106456</xdr:rowOff>
    </xdr:to>
    <xdr:graphicFrame macro="">
      <xdr:nvGraphicFramePr>
        <xdr:cNvPr id="124" name="Gráfico 123" title="Momeno máximo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207817</xdr:colOff>
      <xdr:row>14</xdr:row>
      <xdr:rowOff>19050</xdr:rowOff>
    </xdr:from>
    <xdr:to>
      <xdr:col>48</xdr:col>
      <xdr:colOff>104775</xdr:colOff>
      <xdr:row>52</xdr:row>
      <xdr:rowOff>155863</xdr:rowOff>
    </xdr:to>
    <xdr:graphicFrame macro="">
      <xdr:nvGraphicFramePr>
        <xdr:cNvPr id="143" name="Gráfico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38100</xdr:rowOff>
    </xdr:from>
    <xdr:to>
      <xdr:col>8</xdr:col>
      <xdr:colOff>9525</xdr:colOff>
      <xdr:row>43</xdr:row>
      <xdr:rowOff>0</xdr:rowOff>
    </xdr:to>
    <xdr:sp macro="" textlink="">
      <xdr:nvSpPr>
        <xdr:cNvPr id="11295" name="Rectangle 4127">
          <a:extLst>
            <a:ext uri="{FF2B5EF4-FFF2-40B4-BE49-F238E27FC236}">
              <a16:creationId xmlns:a16="http://schemas.microsoft.com/office/drawing/2014/main" id="{00000000-0008-0000-0100-00001F2C0000}"/>
            </a:ext>
          </a:extLst>
        </xdr:cNvPr>
        <xdr:cNvSpPr>
          <a:spLocks noChangeArrowheads="1"/>
        </xdr:cNvSpPr>
      </xdr:nvSpPr>
      <xdr:spPr bwMode="auto">
        <a:xfrm>
          <a:off x="1219200" y="2705100"/>
          <a:ext cx="3695700" cy="4333875"/>
        </a:xfrm>
        <a:prstGeom prst="rect">
          <a:avLst/>
        </a:prstGeom>
        <a:solidFill>
          <a:srgbClr val="CFCFCF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3175">
              <a:solidFill>
                <a:srgbClr xmlns:mc="http://schemas.openxmlformats.org/markup-compatibility/2006" val="A1A1A1" mc:Ignorable="a14" a14:legacySpreadsheetColorIndex="23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266700</xdr:colOff>
      <xdr:row>16</xdr:row>
      <xdr:rowOff>47625</xdr:rowOff>
    </xdr:from>
    <xdr:to>
      <xdr:col>3</xdr:col>
      <xdr:colOff>485775</xdr:colOff>
      <xdr:row>42</xdr:row>
      <xdr:rowOff>76200</xdr:rowOff>
    </xdr:to>
    <xdr:sp macro="" textlink="">
      <xdr:nvSpPr>
        <xdr:cNvPr id="11265" name="Rectangle 4097">
          <a:extLst>
            <a:ext uri="{FF2B5EF4-FFF2-40B4-BE49-F238E27FC236}">
              <a16:creationId xmlns:a16="http://schemas.microsoft.com/office/drawing/2014/main" id="{00000000-0008-0000-0100-0000012C0000}"/>
            </a:ext>
          </a:extLst>
        </xdr:cNvPr>
        <xdr:cNvSpPr>
          <a:spLocks noChangeArrowheads="1"/>
        </xdr:cNvSpPr>
      </xdr:nvSpPr>
      <xdr:spPr bwMode="auto">
        <a:xfrm>
          <a:off x="2095500" y="2714625"/>
          <a:ext cx="219075" cy="42386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767676" mc:Ignorable="a14" a14:legacySpreadsheetColorIndex="65">
                <a:gamma/>
                <a:shade val="46275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FFFFFF" mc:Ignorable="a14" a14:legacySpreadsheetColorIndex="65"/>
            </a:gs>
          </a:gsLst>
          <a:lin ang="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485775</xdr:colOff>
      <xdr:row>31</xdr:row>
      <xdr:rowOff>95250</xdr:rowOff>
    </xdr:from>
    <xdr:to>
      <xdr:col>4</xdr:col>
      <xdr:colOff>76200</xdr:colOff>
      <xdr:row>31</xdr:row>
      <xdr:rowOff>95250</xdr:rowOff>
    </xdr:to>
    <xdr:sp macro="" textlink="">
      <xdr:nvSpPr>
        <xdr:cNvPr id="11267" name="Line 4099">
          <a:extLst>
            <a:ext uri="{FF2B5EF4-FFF2-40B4-BE49-F238E27FC236}">
              <a16:creationId xmlns:a16="http://schemas.microsoft.com/office/drawing/2014/main" id="{00000000-0008-0000-0100-0000032C0000}"/>
            </a:ext>
          </a:extLst>
        </xdr:cNvPr>
        <xdr:cNvSpPr>
          <a:spLocks noChangeShapeType="1"/>
        </xdr:cNvSpPr>
      </xdr:nvSpPr>
      <xdr:spPr bwMode="auto">
        <a:xfrm flipH="1">
          <a:off x="2314575" y="5191125"/>
          <a:ext cx="200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485775</xdr:colOff>
      <xdr:row>16</xdr:row>
      <xdr:rowOff>76200</xdr:rowOff>
    </xdr:from>
    <xdr:to>
      <xdr:col>4</xdr:col>
      <xdr:colOff>76200</xdr:colOff>
      <xdr:row>16</xdr:row>
      <xdr:rowOff>76200</xdr:rowOff>
    </xdr:to>
    <xdr:sp macro="" textlink="">
      <xdr:nvSpPr>
        <xdr:cNvPr id="11268" name="Line 4100">
          <a:extLst>
            <a:ext uri="{FF2B5EF4-FFF2-40B4-BE49-F238E27FC236}">
              <a16:creationId xmlns:a16="http://schemas.microsoft.com/office/drawing/2014/main" id="{00000000-0008-0000-0100-0000042C0000}"/>
            </a:ext>
          </a:extLst>
        </xdr:cNvPr>
        <xdr:cNvSpPr>
          <a:spLocks noChangeShapeType="1"/>
        </xdr:cNvSpPr>
      </xdr:nvSpPr>
      <xdr:spPr bwMode="auto">
        <a:xfrm flipH="1">
          <a:off x="2314575" y="2743200"/>
          <a:ext cx="200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</xdr:colOff>
      <xdr:row>16</xdr:row>
      <xdr:rowOff>47625</xdr:rowOff>
    </xdr:from>
    <xdr:to>
      <xdr:col>8</xdr:col>
      <xdr:colOff>9525</xdr:colOff>
      <xdr:row>16</xdr:row>
      <xdr:rowOff>47625</xdr:rowOff>
    </xdr:to>
    <xdr:sp macro="" textlink="">
      <xdr:nvSpPr>
        <xdr:cNvPr id="11269" name="Line 4101">
          <a:extLst>
            <a:ext uri="{FF2B5EF4-FFF2-40B4-BE49-F238E27FC236}">
              <a16:creationId xmlns:a16="http://schemas.microsoft.com/office/drawing/2014/main" id="{00000000-0008-0000-0100-0000052C0000}"/>
            </a:ext>
          </a:extLst>
        </xdr:cNvPr>
        <xdr:cNvSpPr>
          <a:spLocks noChangeShapeType="1"/>
        </xdr:cNvSpPr>
      </xdr:nvSpPr>
      <xdr:spPr bwMode="auto">
        <a:xfrm flipH="1">
          <a:off x="1238250" y="2714625"/>
          <a:ext cx="367665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323850</xdr:colOff>
      <xdr:row>14</xdr:row>
      <xdr:rowOff>19050</xdr:rowOff>
    </xdr:from>
    <xdr:to>
      <xdr:col>6</xdr:col>
      <xdr:colOff>323850</xdr:colOff>
      <xdr:row>21</xdr:row>
      <xdr:rowOff>57150</xdr:rowOff>
    </xdr:to>
    <xdr:sp macro="" textlink="">
      <xdr:nvSpPr>
        <xdr:cNvPr id="11270" name="Line 4102">
          <a:extLst>
            <a:ext uri="{FF2B5EF4-FFF2-40B4-BE49-F238E27FC236}">
              <a16:creationId xmlns:a16="http://schemas.microsoft.com/office/drawing/2014/main" id="{00000000-0008-0000-0100-0000062C0000}"/>
            </a:ext>
          </a:extLst>
        </xdr:cNvPr>
        <xdr:cNvSpPr>
          <a:spLocks noChangeShapeType="1"/>
        </xdr:cNvSpPr>
      </xdr:nvSpPr>
      <xdr:spPr bwMode="auto">
        <a:xfrm flipV="1">
          <a:off x="4010025" y="2324100"/>
          <a:ext cx="0" cy="1209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171450</xdr:colOff>
      <xdr:row>21</xdr:row>
      <xdr:rowOff>47625</xdr:rowOff>
    </xdr:from>
    <xdr:to>
      <xdr:col>7</xdr:col>
      <xdr:colOff>381000</xdr:colOff>
      <xdr:row>26</xdr:row>
      <xdr:rowOff>114300</xdr:rowOff>
    </xdr:to>
    <xdr:sp macro="" textlink="">
      <xdr:nvSpPr>
        <xdr:cNvPr id="11271" name="Rectangle 4103">
          <a:extLst>
            <a:ext uri="{FF2B5EF4-FFF2-40B4-BE49-F238E27FC236}">
              <a16:creationId xmlns:a16="http://schemas.microsoft.com/office/drawing/2014/main" id="{00000000-0008-0000-0100-0000072C0000}"/>
            </a:ext>
          </a:extLst>
        </xdr:cNvPr>
        <xdr:cNvSpPr>
          <a:spLocks noChangeArrowheads="1"/>
        </xdr:cNvSpPr>
      </xdr:nvSpPr>
      <xdr:spPr bwMode="auto">
        <a:xfrm>
          <a:off x="3248025" y="3524250"/>
          <a:ext cx="1428750" cy="8763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 comprimento a ser armado poderá variar desde zero ao comprimento total da estaca como também além do comprimento da própria estaca</a:t>
          </a:r>
        </a:p>
      </xdr:txBody>
    </xdr:sp>
    <xdr:clientData/>
  </xdr:twoCellAnchor>
  <xdr:twoCellAnchor>
    <xdr:from>
      <xdr:col>3</xdr:col>
      <xdr:colOff>295275</xdr:colOff>
      <xdr:row>16</xdr:row>
      <xdr:rowOff>57150</xdr:rowOff>
    </xdr:from>
    <xdr:to>
      <xdr:col>3</xdr:col>
      <xdr:colOff>447675</xdr:colOff>
      <xdr:row>31</xdr:row>
      <xdr:rowOff>142875</xdr:rowOff>
    </xdr:to>
    <xdr:grpSp>
      <xdr:nvGrpSpPr>
        <xdr:cNvPr id="11292" name="Group 4124">
          <a:extLst>
            <a:ext uri="{FF2B5EF4-FFF2-40B4-BE49-F238E27FC236}">
              <a16:creationId xmlns:a16="http://schemas.microsoft.com/office/drawing/2014/main" id="{00000000-0008-0000-0100-00001C2C0000}"/>
            </a:ext>
          </a:extLst>
        </xdr:cNvPr>
        <xdr:cNvGrpSpPr>
          <a:grpSpLocks/>
        </xdr:cNvGrpSpPr>
      </xdr:nvGrpSpPr>
      <xdr:grpSpPr bwMode="auto">
        <a:xfrm>
          <a:off x="2169795" y="2800350"/>
          <a:ext cx="152400" cy="2600325"/>
          <a:chOff x="132" y="290"/>
          <a:chExt cx="16" cy="264"/>
        </a:xfrm>
      </xdr:grpSpPr>
      <xdr:sp macro="" textlink="">
        <xdr:nvSpPr>
          <xdr:cNvPr id="11273" name="Line 4105">
            <a:extLst>
              <a:ext uri="{FF2B5EF4-FFF2-40B4-BE49-F238E27FC236}">
                <a16:creationId xmlns:a16="http://schemas.microsoft.com/office/drawing/2014/main" id="{00000000-0008-0000-0100-0000092C0000}"/>
              </a:ext>
            </a:extLst>
          </xdr:cNvPr>
          <xdr:cNvSpPr>
            <a:spLocks noChangeShapeType="1"/>
          </xdr:cNvSpPr>
        </xdr:nvSpPr>
        <xdr:spPr bwMode="auto">
          <a:xfrm>
            <a:off x="132" y="292"/>
            <a:ext cx="0" cy="261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4" name="Line 4106">
            <a:extLst>
              <a:ext uri="{FF2B5EF4-FFF2-40B4-BE49-F238E27FC236}">
                <a16:creationId xmlns:a16="http://schemas.microsoft.com/office/drawing/2014/main" id="{00000000-0008-0000-0100-00000A2C0000}"/>
              </a:ext>
            </a:extLst>
          </xdr:cNvPr>
          <xdr:cNvSpPr>
            <a:spLocks noChangeShapeType="1"/>
          </xdr:cNvSpPr>
        </xdr:nvSpPr>
        <xdr:spPr bwMode="auto">
          <a:xfrm>
            <a:off x="148" y="292"/>
            <a:ext cx="0" cy="261"/>
          </a:xfrm>
          <a:prstGeom prst="lin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5" name="Oval 4107">
            <a:extLst>
              <a:ext uri="{FF2B5EF4-FFF2-40B4-BE49-F238E27FC236}">
                <a16:creationId xmlns:a16="http://schemas.microsoft.com/office/drawing/2014/main" id="{00000000-0008-0000-0100-00000B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29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6" name="Oval 4108">
            <a:extLst>
              <a:ext uri="{FF2B5EF4-FFF2-40B4-BE49-F238E27FC236}">
                <a16:creationId xmlns:a16="http://schemas.microsoft.com/office/drawing/2014/main" id="{00000000-0008-0000-0100-00000C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0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7" name="Oval 4109">
            <a:extLst>
              <a:ext uri="{FF2B5EF4-FFF2-40B4-BE49-F238E27FC236}">
                <a16:creationId xmlns:a16="http://schemas.microsoft.com/office/drawing/2014/main" id="{00000000-0008-0000-0100-00000D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22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8" name="Oval 4110">
            <a:extLst>
              <a:ext uri="{FF2B5EF4-FFF2-40B4-BE49-F238E27FC236}">
                <a16:creationId xmlns:a16="http://schemas.microsoft.com/office/drawing/2014/main" id="{00000000-0008-0000-0100-00000E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38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79" name="Oval 4111">
            <a:extLst>
              <a:ext uri="{FF2B5EF4-FFF2-40B4-BE49-F238E27FC236}">
                <a16:creationId xmlns:a16="http://schemas.microsoft.com/office/drawing/2014/main" id="{00000000-0008-0000-0100-00000F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54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0" name="Oval 4112">
            <a:extLst>
              <a:ext uri="{FF2B5EF4-FFF2-40B4-BE49-F238E27FC236}">
                <a16:creationId xmlns:a16="http://schemas.microsoft.com/office/drawing/2014/main" id="{00000000-0008-0000-0100-000010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7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1" name="Oval 4113">
            <a:extLst>
              <a:ext uri="{FF2B5EF4-FFF2-40B4-BE49-F238E27FC236}">
                <a16:creationId xmlns:a16="http://schemas.microsoft.com/office/drawing/2014/main" id="{00000000-0008-0000-0100-000011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38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2" name="Oval 4114">
            <a:extLst>
              <a:ext uri="{FF2B5EF4-FFF2-40B4-BE49-F238E27FC236}">
                <a16:creationId xmlns:a16="http://schemas.microsoft.com/office/drawing/2014/main" id="{00000000-0008-0000-0100-000012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02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3" name="Oval 4115">
            <a:extLst>
              <a:ext uri="{FF2B5EF4-FFF2-40B4-BE49-F238E27FC236}">
                <a16:creationId xmlns:a16="http://schemas.microsoft.com/office/drawing/2014/main" id="{00000000-0008-0000-0100-000013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18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4" name="Oval 4116">
            <a:extLst>
              <a:ext uri="{FF2B5EF4-FFF2-40B4-BE49-F238E27FC236}">
                <a16:creationId xmlns:a16="http://schemas.microsoft.com/office/drawing/2014/main" id="{00000000-0008-0000-0100-000014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34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5" name="Oval 4117">
            <a:extLst>
              <a:ext uri="{FF2B5EF4-FFF2-40B4-BE49-F238E27FC236}">
                <a16:creationId xmlns:a16="http://schemas.microsoft.com/office/drawing/2014/main" id="{00000000-0008-0000-0100-000015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5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6" name="Oval 4118">
            <a:extLst>
              <a:ext uri="{FF2B5EF4-FFF2-40B4-BE49-F238E27FC236}">
                <a16:creationId xmlns:a16="http://schemas.microsoft.com/office/drawing/2014/main" id="{00000000-0008-0000-0100-000016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6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7" name="Oval 4119">
            <a:extLst>
              <a:ext uri="{FF2B5EF4-FFF2-40B4-BE49-F238E27FC236}">
                <a16:creationId xmlns:a16="http://schemas.microsoft.com/office/drawing/2014/main" id="{00000000-0008-0000-0100-000017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82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8" name="Oval 4120">
            <a:extLst>
              <a:ext uri="{FF2B5EF4-FFF2-40B4-BE49-F238E27FC236}">
                <a16:creationId xmlns:a16="http://schemas.microsoft.com/office/drawing/2014/main" id="{00000000-0008-0000-0100-000018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498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89" name="Oval 4121">
            <a:extLst>
              <a:ext uri="{FF2B5EF4-FFF2-40B4-BE49-F238E27FC236}">
                <a16:creationId xmlns:a16="http://schemas.microsoft.com/office/drawing/2014/main" id="{00000000-0008-0000-0100-000019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514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90" name="Oval 4122">
            <a:extLst>
              <a:ext uri="{FF2B5EF4-FFF2-40B4-BE49-F238E27FC236}">
                <a16:creationId xmlns:a16="http://schemas.microsoft.com/office/drawing/2014/main" id="{00000000-0008-0000-0100-00001A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530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291" name="Oval 4123">
            <a:extLst>
              <a:ext uri="{FF2B5EF4-FFF2-40B4-BE49-F238E27FC236}">
                <a16:creationId xmlns:a16="http://schemas.microsoft.com/office/drawing/2014/main" id="{00000000-0008-0000-0100-00001B2C0000}"/>
              </a:ext>
            </a:extLst>
          </xdr:cNvPr>
          <xdr:cNvSpPr>
            <a:spLocks noChangeArrowheads="1"/>
          </xdr:cNvSpPr>
        </xdr:nvSpPr>
        <xdr:spPr bwMode="auto">
          <a:xfrm>
            <a:off x="132" y="546"/>
            <a:ext cx="16" cy="8"/>
          </a:xfrm>
          <a:prstGeom prst="ellipse">
            <a:avLst/>
          </a:prstGeom>
          <a:noFill/>
          <a:ln w="317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</xdr:grpSp>
    <xdr:clientData/>
  </xdr:twoCellAnchor>
  <xdr:twoCellAnchor>
    <xdr:from>
      <xdr:col>4</xdr:col>
      <xdr:colOff>114300</xdr:colOff>
      <xdr:row>22</xdr:row>
      <xdr:rowOff>133350</xdr:rowOff>
    </xdr:from>
    <xdr:to>
      <xdr:col>5</xdr:col>
      <xdr:colOff>171450</xdr:colOff>
      <xdr:row>22</xdr:row>
      <xdr:rowOff>133350</xdr:rowOff>
    </xdr:to>
    <xdr:sp macro="" textlink="">
      <xdr:nvSpPr>
        <xdr:cNvPr id="11296" name="Line 4128">
          <a:extLst>
            <a:ext uri="{FF2B5EF4-FFF2-40B4-BE49-F238E27FC236}">
              <a16:creationId xmlns:a16="http://schemas.microsoft.com/office/drawing/2014/main" id="{00000000-0008-0000-0100-0000202C0000}"/>
            </a:ext>
          </a:extLst>
        </xdr:cNvPr>
        <xdr:cNvSpPr>
          <a:spLocks noChangeShapeType="1"/>
        </xdr:cNvSpPr>
      </xdr:nvSpPr>
      <xdr:spPr bwMode="auto">
        <a:xfrm flipH="1">
          <a:off x="2552700" y="3771900"/>
          <a:ext cx="6953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66675</xdr:colOff>
      <xdr:row>16</xdr:row>
      <xdr:rowOff>76200</xdr:rowOff>
    </xdr:from>
    <xdr:to>
      <xdr:col>4</xdr:col>
      <xdr:colOff>66675</xdr:colOff>
      <xdr:row>31</xdr:row>
      <xdr:rowOff>85725</xdr:rowOff>
    </xdr:to>
    <xdr:sp macro="" textlink="">
      <xdr:nvSpPr>
        <xdr:cNvPr id="11298" name="Line 4130">
          <a:extLst>
            <a:ext uri="{FF2B5EF4-FFF2-40B4-BE49-F238E27FC236}">
              <a16:creationId xmlns:a16="http://schemas.microsoft.com/office/drawing/2014/main" id="{00000000-0008-0000-0100-0000222C0000}"/>
            </a:ext>
          </a:extLst>
        </xdr:cNvPr>
        <xdr:cNvSpPr>
          <a:spLocks noChangeShapeType="1"/>
        </xdr:cNvSpPr>
      </xdr:nvSpPr>
      <xdr:spPr bwMode="auto">
        <a:xfrm>
          <a:off x="2505075" y="2743200"/>
          <a:ext cx="0" cy="243840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43F7056-8507-4D98-B76F-9F84DFE3B624}" diskRevisions="1" revisionId="13" version="2" protected="1">
  <header guid="{043F7056-8507-4D98-B76F-9F84DFE3B624}" dateTime="2023-06-06T14:03:52" maxSheetId="3" userName="Leandro Bertaco Lúcio" r:id="rId2" minRId="1" maxRId="11">
    <sheetIdMap count="2">
      <sheetId val="1"/>
      <sheetId val="2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O14">
      <v>6.5</v>
    </nc>
  </rcc>
  <rcc rId="2" sId="1">
    <oc r="N6" t="inlineStr">
      <is>
        <t>Estacas raiz</t>
      </is>
    </oc>
    <nc r="N6" t="inlineStr">
      <is>
        <t>Estacas sem fluído</t>
      </is>
    </nc>
  </rcc>
  <rcc rId="3" sId="1" numFmtId="4">
    <oc r="T8">
      <v>45</v>
    </oc>
    <nc r="T8">
      <v>40</v>
    </nc>
  </rcc>
  <rcc rId="4" sId="1" numFmtId="4">
    <oc r="T18">
      <v>5</v>
    </oc>
    <nc r="T18">
      <v>4</v>
    </nc>
  </rcc>
  <rcc rId="5" sId="1" numFmtId="4">
    <oc r="T10">
      <v>12</v>
    </oc>
    <nc r="T10">
      <v>8</v>
    </nc>
  </rcc>
  <rcc rId="6" sId="1">
    <oc r="AE7" t="inlineStr">
      <is>
        <t>Areia medianamente</t>
      </is>
    </oc>
    <nc r="AE7" t="inlineStr">
      <is>
        <t>Argila dura</t>
      </is>
    </nc>
  </rcc>
  <rcc rId="7" sId="1" numFmtId="4">
    <oc r="O18">
      <v>1</v>
    </oc>
    <nc r="O18">
      <v>3</v>
    </nc>
  </rcc>
  <rcc rId="8" sId="1" numFmtId="4">
    <oc r="O16">
      <v>1000</v>
    </oc>
    <nc r="O16">
      <v>2500</v>
    </nc>
  </rcc>
  <rcc rId="9" sId="1" numFmtId="4">
    <oc r="T16">
      <v>8</v>
    </oc>
    <nc r="T16">
      <v>6.3</v>
    </nc>
  </rcc>
  <rcc rId="10" sId="1" numFmtId="4">
    <oc r="O10">
      <v>150</v>
    </oc>
    <nc r="O10">
      <v>18</v>
    </nc>
  </rcc>
  <rcc rId="11" sId="1" numFmtId="4">
    <nc r="O12">
      <v>18</v>
    </nc>
  </rcc>
  <rdn rId="0" localSheetId="1" customView="1" name="Z_66845537_EC82_4EBF_9919_7F98C7CC2A55_.wvu.PrintArea" hidden="1" oldHidden="1">
    <formula>'Estaca armada'!$A$1:$AW$57</formula>
  </rdn>
  <rdn rId="0" localSheetId="1" customView="1" name="Z_66845537_EC82_4EBF_9919_7F98C7CC2A55_.wvu.Rows" hidden="1" oldHidden="1">
    <formula>'Estaca armada'!$135:$1048576,'Estaca armada'!$59:$134</formula>
  </rdn>
  <rcv guid="{66845537-EC82-4EBF-9919-7F98C7CC2A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 cap="flat" cmpd="sng" algn="ctr">
          <a:solidFill>
            <a:srgbClr xmlns:mc="http://schemas.openxmlformats.org/markup-compatibility/2006" xmlns:a14="http://schemas.microsoft.com/office/drawing/2010/main" val="A1A1A1" mc:Ignorable="a14" a14:legacySpreadsheetColorIndex="23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7" Type="http://schemas.openxmlformats.org/officeDocument/2006/relationships/drawing" Target="../drawings/drawing2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4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indexed="47"/>
  </sheetPr>
  <dimension ref="A1:KA134"/>
  <sheetViews>
    <sheetView tabSelected="1" showRuler="0" zoomScaleNormal="100" workbookViewId="0">
      <selection activeCell="O13" sqref="O13:R13"/>
    </sheetView>
  </sheetViews>
  <sheetFormatPr defaultColWidth="0.109375" defaultRowHeight="13.2" zeroHeight="1" x14ac:dyDescent="0.25"/>
  <cols>
    <col min="1" max="1" width="4" style="10" customWidth="1"/>
    <col min="2" max="25" width="4" style="11" customWidth="1"/>
    <col min="26" max="26" width="0.88671875" style="11" customWidth="1"/>
    <col min="27" max="27" width="4.88671875" style="101" customWidth="1"/>
    <col min="28" max="34" width="4" style="100" customWidth="1"/>
    <col min="35" max="35" width="6.44140625" style="100" customWidth="1"/>
    <col min="36" max="38" width="3.88671875" style="100" customWidth="1"/>
    <col min="39" max="47" width="4" style="100" customWidth="1"/>
    <col min="48" max="48" width="3.88671875" style="100" customWidth="1"/>
    <col min="49" max="49" width="4" style="109" customWidth="1"/>
    <col min="50" max="50" width="3.109375" style="100" customWidth="1"/>
    <col min="51" max="51" width="130.5546875" style="130" customWidth="1"/>
    <col min="52" max="52" width="0.109375" style="346" customWidth="1"/>
    <col min="53" max="53" width="3.44140625" style="343" customWidth="1"/>
    <col min="54" max="54" width="3.44140625" style="389" customWidth="1"/>
    <col min="55" max="60" width="3.44140625" style="395" customWidth="1"/>
    <col min="61" max="61" width="3.109375" style="343" customWidth="1"/>
    <col min="62" max="97" width="0.109375" style="357" customWidth="1"/>
    <col min="98" max="117" width="0.109375" style="359" customWidth="1"/>
    <col min="118" max="130" width="3.109375" style="408" customWidth="1"/>
    <col min="131" max="145" width="3.44140625" style="359" customWidth="1"/>
    <col min="146" max="152" width="3.44140625" style="360" customWidth="1"/>
    <col min="153" max="153" width="3.109375" style="361" customWidth="1"/>
    <col min="154" max="163" width="3.109375" style="360" customWidth="1"/>
    <col min="164" max="170" width="3.109375" style="352" customWidth="1"/>
    <col min="171" max="175" width="3.109375" style="345" customWidth="1"/>
    <col min="176" max="235" width="3.109375" style="112" customWidth="1"/>
    <col min="236" max="239" width="3.109375" style="111" customWidth="1"/>
    <col min="240" max="246" width="3.109375" style="112" customWidth="1"/>
    <col min="247" max="247" width="3.109375" style="111" customWidth="1"/>
    <col min="248" max="249" width="3.109375" style="114" customWidth="1"/>
    <col min="250" max="253" width="3.109375" style="111" customWidth="1"/>
    <col min="254" max="264" width="3.109375" style="112" customWidth="1"/>
    <col min="265" max="265" width="3.109375" style="111" customWidth="1"/>
    <col min="266" max="269" width="3.109375" style="112" customWidth="1"/>
    <col min="270" max="270" width="3.109375" style="111" customWidth="1"/>
    <col min="271" max="278" width="3.109375" style="112" customWidth="1"/>
    <col min="279" max="279" width="3.109375" style="111" customWidth="1"/>
    <col min="280" max="280" width="3.109375" style="112" customWidth="1"/>
    <col min="281" max="281" width="3.109375" style="111" customWidth="1"/>
    <col min="282" max="282" width="3.109375" style="112" customWidth="1"/>
    <col min="283" max="283" width="3.109375" style="111" customWidth="1"/>
    <col min="284" max="284" width="3.109375" style="112" customWidth="1"/>
    <col min="285" max="285" width="3.109375" style="111" customWidth="1"/>
    <col min="286" max="286" width="3.109375" style="112" customWidth="1"/>
    <col min="287" max="1363" width="3.109375" style="111" customWidth="1"/>
    <col min="1364" max="16384" width="0.109375" style="111"/>
  </cols>
  <sheetData>
    <row r="1" spans="1:287" ht="12.75" customHeight="1" x14ac:dyDescent="0.25">
      <c r="A1" s="469" t="s">
        <v>75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1">
        <v>1150</v>
      </c>
      <c r="O1" s="472"/>
      <c r="P1" s="478">
        <f ca="1">NOW()</f>
        <v>45083.942744097221</v>
      </c>
      <c r="Q1" s="479"/>
      <c r="R1" s="479"/>
      <c r="S1" s="479"/>
      <c r="T1" s="488"/>
      <c r="U1" s="489"/>
      <c r="V1" s="489"/>
      <c r="W1" s="489"/>
      <c r="X1" s="489"/>
      <c r="Y1" s="490"/>
      <c r="Z1" s="235"/>
      <c r="AA1" s="137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9"/>
      <c r="AX1" s="99"/>
      <c r="AY1" s="129"/>
      <c r="AZ1" s="341"/>
      <c r="BA1" s="342"/>
      <c r="BB1" s="388"/>
      <c r="BC1" s="394"/>
      <c r="BD1" s="394"/>
      <c r="BE1" s="394"/>
      <c r="BF1" s="394"/>
      <c r="BG1" s="394"/>
      <c r="BH1" s="394"/>
      <c r="BI1" s="342"/>
      <c r="BJ1" s="356"/>
      <c r="BK1" s="356"/>
      <c r="BL1" s="356"/>
      <c r="BM1" s="356"/>
      <c r="BN1" s="356"/>
      <c r="BO1" s="356"/>
      <c r="BP1" s="356"/>
      <c r="CT1" s="358"/>
      <c r="CW1" s="358"/>
    </row>
    <row r="2" spans="1:287" ht="12.75" customHeight="1" x14ac:dyDescent="0.25">
      <c r="A2" s="484" t="s">
        <v>0</v>
      </c>
      <c r="B2" s="485"/>
      <c r="C2" s="485"/>
      <c r="D2" s="236"/>
      <c r="E2" s="476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7"/>
      <c r="R2" s="477"/>
      <c r="S2" s="477"/>
      <c r="T2" s="491"/>
      <c r="U2" s="492"/>
      <c r="V2" s="492"/>
      <c r="W2" s="492"/>
      <c r="X2" s="492"/>
      <c r="Y2" s="493"/>
      <c r="Z2" s="126"/>
      <c r="AA2" s="140"/>
      <c r="AB2" s="141"/>
      <c r="AC2" s="521" t="s">
        <v>151</v>
      </c>
      <c r="AD2" s="522"/>
      <c r="AE2" s="522"/>
      <c r="AF2" s="522"/>
      <c r="AG2" s="522"/>
      <c r="AH2" s="522"/>
      <c r="AI2" s="522"/>
      <c r="AJ2" s="522"/>
      <c r="AK2" s="522"/>
      <c r="AL2" s="522"/>
      <c r="AM2" s="522"/>
      <c r="AN2" s="522"/>
      <c r="AO2" s="522"/>
      <c r="AP2" s="522"/>
      <c r="AQ2" s="522"/>
      <c r="AR2" s="522"/>
      <c r="AS2" s="522"/>
      <c r="AT2" s="522"/>
      <c r="AU2" s="522"/>
      <c r="AV2" s="523"/>
      <c r="AW2" s="142"/>
      <c r="CV2" s="362">
        <f>IF((T18*T8*T10*T12*T14*T16*DF29)&gt;0,1,0)</f>
        <v>1</v>
      </c>
      <c r="CW2" s="359">
        <f>IF((O10+O14+O16+O18)&gt;0,1,0)</f>
        <v>1</v>
      </c>
      <c r="CX2" s="358">
        <f>IF(CV2+CW2=2,1+BW10,0)</f>
        <v>1</v>
      </c>
      <c r="CY2" s="363"/>
    </row>
    <row r="3" spans="1:287" ht="13.5" customHeight="1" x14ac:dyDescent="0.25">
      <c r="A3" s="486" t="s">
        <v>98</v>
      </c>
      <c r="B3" s="487"/>
      <c r="C3" s="487"/>
      <c r="D3" s="404"/>
      <c r="E3" s="473" t="s">
        <v>171</v>
      </c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5"/>
      <c r="T3" s="491"/>
      <c r="U3" s="492"/>
      <c r="V3" s="492"/>
      <c r="W3" s="492"/>
      <c r="X3" s="492"/>
      <c r="Y3" s="493"/>
      <c r="Z3" s="126"/>
      <c r="AA3" s="140"/>
      <c r="AB3" s="143"/>
      <c r="AC3" s="524"/>
      <c r="AD3" s="525"/>
      <c r="AE3" s="525"/>
      <c r="AF3" s="525"/>
      <c r="AG3" s="525"/>
      <c r="AH3" s="525"/>
      <c r="AI3" s="525"/>
      <c r="AJ3" s="525"/>
      <c r="AK3" s="525"/>
      <c r="AL3" s="525"/>
      <c r="AM3" s="525"/>
      <c r="AN3" s="525"/>
      <c r="AO3" s="525"/>
      <c r="AP3" s="525"/>
      <c r="AQ3" s="525"/>
      <c r="AR3" s="525"/>
      <c r="AS3" s="525"/>
      <c r="AT3" s="525"/>
      <c r="AU3" s="525"/>
      <c r="AV3" s="526"/>
      <c r="AW3" s="142"/>
      <c r="BA3" s="347"/>
      <c r="BB3" s="390"/>
      <c r="BC3" s="396"/>
      <c r="BD3" s="396"/>
      <c r="BE3" s="396"/>
      <c r="BF3" s="396"/>
      <c r="BG3" s="396"/>
      <c r="BH3" s="396"/>
      <c r="BI3" s="347"/>
      <c r="BJ3" s="410" t="s">
        <v>82</v>
      </c>
      <c r="BK3" s="410"/>
      <c r="BL3" s="410"/>
      <c r="BN3" s="364">
        <f>O10*1000/((PI()*(T8*T8))/4)</f>
        <v>14.323944878270581</v>
      </c>
      <c r="BO3" s="365" t="s">
        <v>83</v>
      </c>
      <c r="BP3" s="365"/>
      <c r="BQ3" s="358"/>
      <c r="BR3" s="358"/>
      <c r="BS3" s="358"/>
      <c r="BT3" s="358"/>
      <c r="BU3" s="358"/>
      <c r="BV3" s="358"/>
      <c r="BW3" s="358"/>
      <c r="BX3" s="358"/>
      <c r="BY3" s="358"/>
      <c r="BZ3" s="358"/>
      <c r="CA3" s="358"/>
      <c r="CB3" s="358"/>
      <c r="CC3" s="358"/>
      <c r="CD3" s="358"/>
      <c r="CE3" s="358"/>
      <c r="CF3" s="358"/>
      <c r="CG3" s="358"/>
      <c r="CH3" s="358"/>
      <c r="CI3" s="358"/>
      <c r="CJ3" s="358"/>
      <c r="CK3" s="358"/>
      <c r="CL3" s="358"/>
      <c r="CM3" s="358"/>
      <c r="CN3" s="358"/>
      <c r="CO3" s="358"/>
      <c r="CP3" s="358"/>
      <c r="CQ3" s="358"/>
      <c r="CR3" s="358"/>
      <c r="CS3" s="358"/>
      <c r="CY3" s="359" t="s">
        <v>3</v>
      </c>
      <c r="CZ3" s="359" t="s">
        <v>25</v>
      </c>
      <c r="DA3" s="358" t="s">
        <v>56</v>
      </c>
      <c r="DB3" s="358" t="s">
        <v>55</v>
      </c>
      <c r="DC3" s="358"/>
      <c r="DE3" s="359" t="s">
        <v>68</v>
      </c>
      <c r="DF3" s="359" t="s">
        <v>69</v>
      </c>
    </row>
    <row r="4" spans="1:287" ht="13.5" customHeight="1" x14ac:dyDescent="0.25">
      <c r="A4" s="237"/>
      <c r="B4" s="238"/>
      <c r="C4" s="239"/>
      <c r="D4" s="400"/>
      <c r="E4" s="400"/>
      <c r="F4" s="400"/>
      <c r="G4" s="400"/>
      <c r="H4" s="401"/>
      <c r="I4" s="401"/>
      <c r="J4" s="402"/>
      <c r="K4" s="402"/>
      <c r="L4" s="403"/>
      <c r="M4" s="501"/>
      <c r="N4" s="502"/>
      <c r="O4" s="502"/>
      <c r="P4" s="502"/>
      <c r="Q4" s="502"/>
      <c r="R4" s="502"/>
      <c r="S4" s="502"/>
      <c r="T4" s="502"/>
      <c r="U4" s="502"/>
      <c r="V4" s="502"/>
      <c r="W4" s="502"/>
      <c r="X4" s="502"/>
      <c r="Y4" s="240"/>
      <c r="Z4" s="108"/>
      <c r="AA4" s="144"/>
      <c r="AB4" s="145"/>
      <c r="AC4" s="439"/>
      <c r="AD4" s="439"/>
      <c r="AE4" s="439"/>
      <c r="AF4" s="439"/>
      <c r="AG4" s="439"/>
      <c r="AH4" s="439"/>
      <c r="AI4" s="439"/>
      <c r="AJ4" s="439"/>
      <c r="AK4" s="439"/>
      <c r="AL4" s="439"/>
      <c r="AM4" s="439"/>
      <c r="AN4" s="439"/>
      <c r="AO4" s="439"/>
      <c r="AP4" s="439"/>
      <c r="AQ4" s="439"/>
      <c r="AR4" s="439"/>
      <c r="AS4" s="439"/>
      <c r="AT4" s="439"/>
      <c r="AU4" s="439"/>
      <c r="AV4" s="439"/>
      <c r="AW4" s="142"/>
      <c r="BA4" s="347"/>
      <c r="BB4" s="390"/>
      <c r="BC4" s="396"/>
      <c r="BD4" s="396"/>
      <c r="BE4" s="396"/>
      <c r="BF4" s="396"/>
      <c r="BG4" s="396"/>
      <c r="BH4" s="396"/>
      <c r="BI4" s="347"/>
      <c r="BJ4" s="410" t="s">
        <v>84</v>
      </c>
      <c r="BK4" s="410"/>
      <c r="BL4" s="410"/>
      <c r="BN4" s="364">
        <f>(PI()*(T8*T8))/4</f>
        <v>1256.6370614359173</v>
      </c>
      <c r="BO4" s="365" t="s">
        <v>29</v>
      </c>
      <c r="BP4" s="365"/>
      <c r="BQ4" s="366"/>
      <c r="BR4" s="366"/>
      <c r="BS4" s="366"/>
      <c r="BT4" s="367"/>
      <c r="BU4" s="367"/>
      <c r="BV4" s="367"/>
      <c r="BW4" s="367"/>
      <c r="BX4" s="367"/>
      <c r="BY4" s="367"/>
      <c r="CC4" s="366"/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366"/>
      <c r="CS4" s="366"/>
      <c r="CT4" s="366"/>
      <c r="CU4" s="359">
        <v>60</v>
      </c>
      <c r="CV4" s="359" t="s">
        <v>40</v>
      </c>
      <c r="CY4" s="359">
        <v>5</v>
      </c>
      <c r="CZ4" s="359">
        <f>((CY4*CY4)/4)*PI()/100</f>
        <v>0.19634954084936207</v>
      </c>
      <c r="DA4" s="366"/>
      <c r="DB4" s="359">
        <f>IF(T16=CY4,CZ4,0)</f>
        <v>0</v>
      </c>
      <c r="DC4" s="359">
        <f>IF(X16=CW6,217,0)</f>
        <v>0</v>
      </c>
      <c r="DD4" s="363">
        <f t="shared" ref="DD4:DD17" si="0">CZ4*0.785</f>
        <v>0.15413438956674924</v>
      </c>
      <c r="DE4" s="359" t="str">
        <f>IF(DA4&gt;0,DD4,"")</f>
        <v/>
      </c>
      <c r="DF4" s="359" t="str">
        <f>IF(DB4&gt;0,DD4,"")</f>
        <v/>
      </c>
      <c r="DG4" s="366"/>
      <c r="DH4" s="366"/>
    </row>
    <row r="5" spans="1:287" ht="13.5" customHeight="1" x14ac:dyDescent="0.25">
      <c r="A5" s="241"/>
      <c r="B5" s="320"/>
      <c r="C5" s="321"/>
      <c r="D5" s="321"/>
      <c r="E5" s="322">
        <f>IF(CX2=1,T18,"")</f>
        <v>4</v>
      </c>
      <c r="F5" s="323" t="s">
        <v>5</v>
      </c>
      <c r="G5" s="324"/>
      <c r="H5" s="325"/>
      <c r="I5" s="325"/>
      <c r="J5" s="325"/>
      <c r="K5" s="325"/>
      <c r="L5" s="326"/>
      <c r="M5" s="293"/>
      <c r="N5" s="480" t="s">
        <v>13</v>
      </c>
      <c r="O5" s="480"/>
      <c r="P5" s="480"/>
      <c r="Q5" s="480"/>
      <c r="R5" s="480"/>
      <c r="S5" s="480"/>
      <c r="T5" s="480"/>
      <c r="U5" s="503" t="s">
        <v>155</v>
      </c>
      <c r="V5" s="503"/>
      <c r="W5" s="503"/>
      <c r="X5" s="504"/>
      <c r="Y5" s="217"/>
      <c r="Z5" s="108"/>
      <c r="AA5" s="144"/>
      <c r="AB5" s="141"/>
      <c r="AC5" s="231"/>
      <c r="AD5" s="232"/>
      <c r="AE5" s="232"/>
      <c r="AF5" s="232"/>
      <c r="AG5" s="232"/>
      <c r="AH5" s="232"/>
      <c r="AI5" s="232"/>
      <c r="AJ5" s="232"/>
      <c r="AK5" s="233"/>
      <c r="AL5" s="141"/>
      <c r="AM5" s="231"/>
      <c r="AN5" s="232"/>
      <c r="AO5" s="232"/>
      <c r="AP5" s="232"/>
      <c r="AQ5" s="232"/>
      <c r="AR5" s="232"/>
      <c r="AS5" s="232"/>
      <c r="AT5" s="232"/>
      <c r="AU5" s="232"/>
      <c r="AV5" s="233"/>
      <c r="AW5" s="142"/>
      <c r="BA5" s="347"/>
      <c r="BB5" s="390"/>
      <c r="BC5" s="396"/>
      <c r="BD5" s="396"/>
      <c r="BE5" s="396"/>
      <c r="BF5" s="396"/>
      <c r="BG5" s="396"/>
      <c r="BH5" s="396"/>
      <c r="BI5" s="347"/>
      <c r="BJ5" s="414"/>
      <c r="BK5" s="414"/>
      <c r="BN5" s="364">
        <f>O10*1000-(50*BN4)</f>
        <v>-44831.853071795864</v>
      </c>
      <c r="BO5" s="365"/>
      <c r="BP5" s="365"/>
      <c r="BT5" s="367"/>
      <c r="BU5" s="367"/>
      <c r="BV5" s="367"/>
      <c r="BW5" s="367"/>
      <c r="BX5" s="367"/>
      <c r="BY5" s="367"/>
      <c r="BZ5" s="359"/>
      <c r="CT5" s="368"/>
      <c r="CU5" s="359" t="s">
        <v>19</v>
      </c>
      <c r="CV5" s="359" t="s">
        <v>19</v>
      </c>
      <c r="CY5" s="359">
        <v>6</v>
      </c>
      <c r="CZ5" s="359">
        <f t="shared" ref="CZ5:CZ17" si="1">((CY5*CY5)/4)*PI()/100</f>
        <v>0.28274333882308139</v>
      </c>
      <c r="DB5" s="359">
        <f>IF(T16=CY5,CZ5,0)</f>
        <v>0</v>
      </c>
      <c r="DC5" s="359">
        <f>IF(X16=CW7,420,0)</f>
        <v>420</v>
      </c>
      <c r="DD5" s="363">
        <f t="shared" si="0"/>
        <v>0.2219535209761189</v>
      </c>
      <c r="DE5" s="359" t="str">
        <f t="shared" ref="DE5:DE17" si="2">IF(DA5&gt;0,DD5,"")</f>
        <v/>
      </c>
      <c r="DF5" s="359" t="str">
        <f t="shared" ref="DF5:DF17" si="3">IF(DB5&gt;0,DD5,"")</f>
        <v/>
      </c>
    </row>
    <row r="6" spans="1:287" ht="13.5" customHeight="1" x14ac:dyDescent="0.25">
      <c r="A6" s="242"/>
      <c r="B6" s="327"/>
      <c r="C6" s="321"/>
      <c r="D6" s="321"/>
      <c r="E6" s="321"/>
      <c r="F6" s="450" t="s">
        <v>49</v>
      </c>
      <c r="G6" s="450"/>
      <c r="H6" s="450"/>
      <c r="I6" s="450"/>
      <c r="J6" s="450"/>
      <c r="K6" s="450"/>
      <c r="L6" s="321"/>
      <c r="M6" s="291">
        <v>1</v>
      </c>
      <c r="N6" s="518" t="s">
        <v>161</v>
      </c>
      <c r="O6" s="519"/>
      <c r="P6" s="519"/>
      <c r="Q6" s="519"/>
      <c r="R6" s="519"/>
      <c r="S6" s="519"/>
      <c r="T6" s="520"/>
      <c r="U6" s="507" t="s">
        <v>154</v>
      </c>
      <c r="V6" s="508"/>
      <c r="W6" s="505" t="s">
        <v>157</v>
      </c>
      <c r="X6" s="506"/>
      <c r="Y6" s="170"/>
      <c r="Z6" s="108"/>
      <c r="AA6" s="144"/>
      <c r="AB6" s="141"/>
      <c r="AC6" s="211"/>
      <c r="AD6" s="230"/>
      <c r="AE6" s="431" t="s">
        <v>99</v>
      </c>
      <c r="AF6" s="432"/>
      <c r="AG6" s="432"/>
      <c r="AH6" s="432"/>
      <c r="AI6" s="432"/>
      <c r="AJ6" s="230"/>
      <c r="AK6" s="270"/>
      <c r="AL6" s="141"/>
      <c r="AM6" s="211"/>
      <c r="AN6" s="230"/>
      <c r="AO6" s="230"/>
      <c r="AP6" s="230"/>
      <c r="AQ6" s="230"/>
      <c r="AR6" s="230"/>
      <c r="AS6" s="230"/>
      <c r="AT6" s="230"/>
      <c r="AU6" s="230"/>
      <c r="AV6" s="234"/>
      <c r="AW6" s="142"/>
      <c r="BA6" s="348"/>
      <c r="BB6" s="391"/>
      <c r="BC6" s="397"/>
      <c r="BD6" s="397"/>
      <c r="BE6" s="397"/>
      <c r="BF6" s="397"/>
      <c r="BG6" s="397"/>
      <c r="BH6" s="397"/>
      <c r="BI6" s="348"/>
      <c r="BJ6" s="428" t="s">
        <v>85</v>
      </c>
      <c r="BK6" s="428"/>
      <c r="BL6" s="428"/>
      <c r="BM6" s="428"/>
      <c r="BN6" s="369" t="str">
        <f>IF(BN3&gt;50,(T10/(O12*1000))*BN5,"zero")</f>
        <v>zero</v>
      </c>
      <c r="BO6" s="370" t="s">
        <v>1</v>
      </c>
      <c r="BP6" s="370"/>
      <c r="BT6" s="414" t="str">
        <f>BAHTTEXT(BT8)</f>
        <v>เจ็ดสิบหกบาทถ้วน</v>
      </c>
      <c r="BU6" s="414"/>
      <c r="BV6" s="414"/>
      <c r="BW6" s="414"/>
      <c r="BX6" s="414"/>
      <c r="CT6" s="358"/>
      <c r="CU6" s="359">
        <v>5</v>
      </c>
      <c r="CV6" s="359">
        <v>8</v>
      </c>
      <c r="CW6" s="371">
        <v>25</v>
      </c>
      <c r="CY6" s="359">
        <v>6.3</v>
      </c>
      <c r="CZ6" s="359">
        <f t="shared" si="1"/>
        <v>0.31172453105244718</v>
      </c>
      <c r="DA6" s="358"/>
      <c r="DB6" s="359">
        <f>IF(T16=CY6,CZ6,0)</f>
        <v>0.31172453105244718</v>
      </c>
      <c r="DC6" s="359">
        <f>IF(X16=CW8,420,0)</f>
        <v>0</v>
      </c>
      <c r="DD6" s="363">
        <f t="shared" si="0"/>
        <v>0.24470375687617105</v>
      </c>
      <c r="DE6" s="359" t="str">
        <f t="shared" si="2"/>
        <v/>
      </c>
      <c r="DF6" s="359">
        <f t="shared" si="3"/>
        <v>0.24470375687617105</v>
      </c>
      <c r="EV6" s="372"/>
      <c r="EW6" s="372"/>
      <c r="EX6" s="372"/>
      <c r="EY6" s="372"/>
      <c r="EZ6" s="372"/>
      <c r="FA6" s="372"/>
      <c r="FB6" s="372"/>
      <c r="FC6" s="372"/>
      <c r="FF6" s="372"/>
      <c r="FG6" s="372"/>
      <c r="FH6" s="353"/>
      <c r="FI6" s="353"/>
      <c r="FJ6" s="353"/>
      <c r="FK6" s="353"/>
      <c r="FL6" s="353"/>
      <c r="FM6" s="353"/>
    </row>
    <row r="7" spans="1:287" ht="13.5" customHeight="1" x14ac:dyDescent="0.25">
      <c r="A7" s="243"/>
      <c r="B7" s="328"/>
      <c r="C7" s="329"/>
      <c r="D7" s="330"/>
      <c r="E7" s="330"/>
      <c r="F7" s="331">
        <f>IF(CX2=1,CX35,"")</f>
        <v>6</v>
      </c>
      <c r="G7" s="331" t="s">
        <v>48</v>
      </c>
      <c r="H7" s="332">
        <f>IF(CX2=1,T14,"")</f>
        <v>12.5</v>
      </c>
      <c r="I7" s="331" t="s">
        <v>3</v>
      </c>
      <c r="J7" s="333"/>
      <c r="K7" s="334"/>
      <c r="L7" s="321"/>
      <c r="M7" s="290"/>
      <c r="N7" s="280"/>
      <c r="O7" s="280"/>
      <c r="P7" s="281"/>
      <c r="Q7" s="281"/>
      <c r="R7" s="281"/>
      <c r="S7" s="280"/>
      <c r="T7" s="497" t="s">
        <v>16</v>
      </c>
      <c r="U7" s="497"/>
      <c r="V7" s="497"/>
      <c r="W7" s="497"/>
      <c r="X7" s="539"/>
      <c r="Y7" s="170"/>
      <c r="Z7" s="108"/>
      <c r="AA7" s="144"/>
      <c r="AB7" s="141"/>
      <c r="AC7" s="211"/>
      <c r="AD7" s="267">
        <v>13</v>
      </c>
      <c r="AE7" s="425" t="s">
        <v>113</v>
      </c>
      <c r="AF7" s="429"/>
      <c r="AG7" s="429"/>
      <c r="AH7" s="429"/>
      <c r="AI7" s="430"/>
      <c r="AJ7" s="230"/>
      <c r="AK7" s="270"/>
      <c r="AL7" s="141"/>
      <c r="AM7" s="599" t="s">
        <v>131</v>
      </c>
      <c r="AN7" s="600"/>
      <c r="AO7" s="600"/>
      <c r="AP7" s="600"/>
      <c r="AQ7" s="600"/>
      <c r="AR7" s="600"/>
      <c r="AS7" s="601" t="str">
        <f>CE53</f>
        <v xml:space="preserve">Hetenyi </v>
      </c>
      <c r="AT7" s="602"/>
      <c r="AU7" s="602"/>
      <c r="AV7" s="603"/>
      <c r="AW7" s="142"/>
      <c r="BA7" s="349"/>
      <c r="BB7" s="392"/>
      <c r="BC7" s="398"/>
      <c r="BD7" s="398"/>
      <c r="BE7" s="398"/>
      <c r="BF7" s="398"/>
      <c r="BG7" s="398"/>
      <c r="BH7" s="398"/>
      <c r="BI7" s="349"/>
      <c r="BJ7" s="428"/>
      <c r="BK7" s="428"/>
      <c r="BL7" s="428"/>
      <c r="BM7" s="428"/>
      <c r="BN7" s="358"/>
      <c r="BO7" s="373"/>
      <c r="BP7" s="373"/>
      <c r="BT7" s="414" t="str">
        <f>BAHTTEXT(BU8)</f>
        <v>ห้าสิบบาทถ้วน</v>
      </c>
      <c r="BU7" s="414"/>
      <c r="BV7" s="414"/>
      <c r="BW7" s="414"/>
      <c r="BX7" s="414"/>
      <c r="CT7" s="363"/>
      <c r="CU7" s="359">
        <v>6</v>
      </c>
      <c r="CV7" s="359">
        <v>10</v>
      </c>
      <c r="CW7" s="371">
        <v>50</v>
      </c>
      <c r="CY7" s="359">
        <v>7</v>
      </c>
      <c r="CZ7" s="359">
        <f t="shared" si="1"/>
        <v>0.38484510006474965</v>
      </c>
      <c r="DB7" s="359">
        <f>IF(T16=CY7,CZ7,0)</f>
        <v>0</v>
      </c>
      <c r="DC7" s="359">
        <f>SUM(DC4:DC6)</f>
        <v>420</v>
      </c>
      <c r="DD7" s="363">
        <f t="shared" si="0"/>
        <v>0.30210340355082849</v>
      </c>
      <c r="DE7" s="359" t="str">
        <f t="shared" si="2"/>
        <v/>
      </c>
      <c r="DF7" s="359" t="str">
        <f t="shared" si="3"/>
        <v/>
      </c>
      <c r="EH7" s="374"/>
      <c r="EK7" s="374"/>
      <c r="EL7" s="374"/>
      <c r="EM7" s="374"/>
      <c r="EV7" s="375"/>
      <c r="EW7" s="375"/>
      <c r="EX7" s="375"/>
      <c r="EY7" s="375"/>
      <c r="EZ7" s="375"/>
      <c r="FA7" s="375"/>
      <c r="FB7" s="375"/>
      <c r="FC7" s="375"/>
      <c r="FF7" s="375"/>
      <c r="FG7" s="375"/>
      <c r="FH7" s="354"/>
      <c r="FI7" s="354"/>
      <c r="FJ7" s="354"/>
      <c r="FK7" s="354"/>
      <c r="FL7" s="354"/>
      <c r="FM7" s="354"/>
      <c r="HC7" s="116"/>
      <c r="HD7" s="116"/>
    </row>
    <row r="8" spans="1:287" ht="13.5" customHeight="1" x14ac:dyDescent="0.25">
      <c r="A8" s="244"/>
      <c r="B8" s="328"/>
      <c r="C8" s="329"/>
      <c r="D8" s="330"/>
      <c r="E8" s="330"/>
      <c r="F8" s="450" t="s">
        <v>76</v>
      </c>
      <c r="G8" s="450"/>
      <c r="H8" s="450"/>
      <c r="I8" s="450"/>
      <c r="J8" s="450"/>
      <c r="K8" s="450"/>
      <c r="L8" s="321"/>
      <c r="M8" s="290"/>
      <c r="N8" s="297"/>
      <c r="O8" s="297"/>
      <c r="P8" s="314"/>
      <c r="Q8" s="314"/>
      <c r="R8" s="314"/>
      <c r="S8" s="282">
        <v>7</v>
      </c>
      <c r="T8" s="421">
        <v>40</v>
      </c>
      <c r="U8" s="422"/>
      <c r="V8" s="283" t="s">
        <v>5</v>
      </c>
      <c r="W8" s="280"/>
      <c r="X8" s="298"/>
      <c r="Y8" s="170"/>
      <c r="Z8" s="108"/>
      <c r="AA8" s="144"/>
      <c r="AB8" s="141"/>
      <c r="AC8" s="211"/>
      <c r="AD8" s="230"/>
      <c r="AE8" s="230" t="s">
        <v>104</v>
      </c>
      <c r="AF8" s="230"/>
      <c r="AG8" s="230"/>
      <c r="AH8" s="230"/>
      <c r="AI8" s="230"/>
      <c r="AJ8" s="230"/>
      <c r="AK8" s="270"/>
      <c r="AL8" s="141"/>
      <c r="AM8" s="211"/>
      <c r="AN8" s="230"/>
      <c r="AO8" s="230"/>
      <c r="AP8" s="230"/>
      <c r="AQ8" s="230"/>
      <c r="AR8" s="230"/>
      <c r="AS8" s="230"/>
      <c r="AT8" s="230"/>
      <c r="AU8" s="230"/>
      <c r="AV8" s="234"/>
      <c r="AW8" s="142"/>
      <c r="BT8" s="359">
        <f>CODE(E3)</f>
        <v>76</v>
      </c>
      <c r="BU8" s="359">
        <f>LEN(E3)</f>
        <v>50</v>
      </c>
      <c r="BV8" s="359">
        <f>SUM(BT8:BU8)</f>
        <v>126</v>
      </c>
      <c r="BW8" s="448">
        <f>BT8+BU8+BV8+BT9+BU9+BT10*BU10</f>
        <v>1150</v>
      </c>
      <c r="BX8" s="448"/>
      <c r="CU8" s="359">
        <v>6.3</v>
      </c>
      <c r="CV8" s="359">
        <v>12.5</v>
      </c>
      <c r="CW8" s="371">
        <v>60</v>
      </c>
      <c r="CY8" s="359">
        <v>8</v>
      </c>
      <c r="CZ8" s="359">
        <f t="shared" si="1"/>
        <v>0.50265482457436694</v>
      </c>
      <c r="DA8" s="359">
        <f>IF(T14=CY8,CZ8,0)</f>
        <v>0</v>
      </c>
      <c r="DB8" s="359">
        <f>IF(T16=CY8,CZ8,0)</f>
        <v>0</v>
      </c>
      <c r="DC8" s="366"/>
      <c r="DD8" s="363">
        <f t="shared" si="0"/>
        <v>0.39458403729087804</v>
      </c>
      <c r="DE8" s="359" t="str">
        <f t="shared" si="2"/>
        <v/>
      </c>
      <c r="DF8" s="359" t="str">
        <f t="shared" si="3"/>
        <v/>
      </c>
      <c r="DN8" s="409"/>
      <c r="DO8" s="407"/>
      <c r="EH8" s="374"/>
      <c r="EK8" s="374"/>
      <c r="EL8" s="374"/>
      <c r="EM8" s="374"/>
      <c r="EV8" s="375"/>
      <c r="EW8" s="375"/>
      <c r="EX8" s="375"/>
      <c r="EY8" s="375"/>
      <c r="EZ8" s="375"/>
      <c r="FA8" s="375"/>
      <c r="FB8" s="375"/>
      <c r="FC8" s="375"/>
      <c r="FF8" s="375"/>
      <c r="FG8" s="375"/>
      <c r="FH8" s="354"/>
      <c r="FI8" s="354"/>
      <c r="FJ8" s="354"/>
      <c r="FK8" s="354"/>
      <c r="FL8" s="354"/>
      <c r="FM8" s="354"/>
      <c r="FQ8" s="350"/>
      <c r="FR8" s="350"/>
      <c r="FS8" s="350"/>
      <c r="FT8" s="116"/>
      <c r="FU8" s="116"/>
      <c r="FV8" s="116"/>
      <c r="FW8" s="116"/>
      <c r="FX8" s="116"/>
      <c r="FY8" s="116"/>
      <c r="FZ8" s="116"/>
      <c r="GA8" s="116"/>
      <c r="GB8" s="116"/>
      <c r="GC8" s="116"/>
      <c r="GD8" s="116"/>
      <c r="HC8" s="116"/>
      <c r="HD8" s="116"/>
    </row>
    <row r="9" spans="1:287" ht="13.5" customHeight="1" x14ac:dyDescent="0.25">
      <c r="A9" s="244"/>
      <c r="B9" s="335"/>
      <c r="C9" s="336"/>
      <c r="D9" s="321"/>
      <c r="E9" s="321"/>
      <c r="F9" s="331" t="s">
        <v>48</v>
      </c>
      <c r="G9" s="332">
        <f>IF(CX2=1,T16,"")</f>
        <v>6.3</v>
      </c>
      <c r="H9" s="331" t="s">
        <v>3</v>
      </c>
      <c r="I9" s="331" t="s">
        <v>58</v>
      </c>
      <c r="J9" s="331">
        <f>IF(CX2=1,DC38,"")</f>
        <v>14.124615384615385</v>
      </c>
      <c r="K9" s="331" t="s">
        <v>5</v>
      </c>
      <c r="L9" s="337"/>
      <c r="M9" s="315"/>
      <c r="N9" s="160"/>
      <c r="O9" s="451" t="s">
        <v>9</v>
      </c>
      <c r="P9" s="452"/>
      <c r="Q9" s="452"/>
      <c r="R9" s="452"/>
      <c r="S9" s="307"/>
      <c r="T9" s="453" t="s">
        <v>2</v>
      </c>
      <c r="U9" s="453"/>
      <c r="V9" s="453"/>
      <c r="W9" s="453"/>
      <c r="X9" s="454"/>
      <c r="Y9" s="294"/>
      <c r="Z9" s="125"/>
      <c r="AA9" s="146"/>
      <c r="AB9" s="141"/>
      <c r="AC9" s="211"/>
      <c r="AD9" s="267">
        <v>14</v>
      </c>
      <c r="AE9" s="425" t="s">
        <v>107</v>
      </c>
      <c r="AF9" s="426"/>
      <c r="AG9" s="426"/>
      <c r="AH9" s="426"/>
      <c r="AI9" s="427"/>
      <c r="AJ9" s="230"/>
      <c r="AK9" s="270"/>
      <c r="AL9" s="141"/>
      <c r="AM9" s="433" t="s">
        <v>142</v>
      </c>
      <c r="AN9" s="434"/>
      <c r="AO9" s="434"/>
      <c r="AP9" s="434"/>
      <c r="AQ9" s="434"/>
      <c r="AR9" s="434"/>
      <c r="AS9" s="435">
        <f>IF(CX2*CT57=1,CN53,"")</f>
        <v>0.31192861058019472</v>
      </c>
      <c r="AT9" s="436"/>
      <c r="AU9" s="437" t="s">
        <v>5</v>
      </c>
      <c r="AV9" s="438"/>
      <c r="AW9" s="142"/>
      <c r="BT9" s="359">
        <f>CODE(BT6)</f>
        <v>63</v>
      </c>
      <c r="BU9" s="359">
        <f>LEN(BT6)</f>
        <v>16</v>
      </c>
      <c r="BW9" s="448"/>
      <c r="BX9" s="448"/>
      <c r="CU9" s="359">
        <v>7</v>
      </c>
      <c r="CV9" s="359">
        <v>16</v>
      </c>
      <c r="CX9" s="358"/>
      <c r="CY9" s="359">
        <v>9.5</v>
      </c>
      <c r="CZ9" s="359">
        <f t="shared" si="1"/>
        <v>0.70882184246619706</v>
      </c>
      <c r="DB9" s="359">
        <f>IF(T16=CY9,CZ9,0)</f>
        <v>0</v>
      </c>
      <c r="DD9" s="363">
        <f t="shared" si="0"/>
        <v>0.55642514633596474</v>
      </c>
      <c r="DE9" s="359" t="str">
        <f t="shared" si="2"/>
        <v/>
      </c>
      <c r="DF9" s="359" t="str">
        <f t="shared" si="3"/>
        <v/>
      </c>
      <c r="EH9" s="374"/>
      <c r="EK9" s="374"/>
      <c r="EL9" s="374"/>
      <c r="EM9" s="374"/>
      <c r="EV9" s="375"/>
      <c r="EW9" s="375"/>
      <c r="EX9" s="375"/>
      <c r="EY9" s="375"/>
      <c r="EZ9" s="375"/>
      <c r="FA9" s="375"/>
      <c r="FB9" s="375"/>
      <c r="FC9" s="375"/>
      <c r="FF9" s="375"/>
      <c r="FG9" s="375"/>
      <c r="FH9" s="354"/>
      <c r="FI9" s="354"/>
      <c r="FJ9" s="354"/>
      <c r="FK9" s="354"/>
      <c r="FL9" s="354"/>
      <c r="FM9" s="354"/>
      <c r="FQ9" s="350"/>
      <c r="FR9" s="350"/>
      <c r="FS9" s="350"/>
      <c r="HC9" s="116"/>
      <c r="HD9" s="116"/>
    </row>
    <row r="10" spans="1:287" s="110" customFormat="1" ht="13.5" customHeight="1" x14ac:dyDescent="0.25">
      <c r="A10" s="244"/>
      <c r="B10" s="338" t="s">
        <v>60</v>
      </c>
      <c r="C10" s="411">
        <f>IF(T8*T18&gt;0,T8-2*T18,"")</f>
        <v>32</v>
      </c>
      <c r="D10" s="412"/>
      <c r="E10" s="339" t="s">
        <v>5</v>
      </c>
      <c r="F10" s="440"/>
      <c r="G10" s="441"/>
      <c r="H10" s="441"/>
      <c r="I10" s="441"/>
      <c r="J10" s="441"/>
      <c r="K10" s="441"/>
      <c r="L10" s="441"/>
      <c r="M10" s="442"/>
      <c r="N10" s="161">
        <v>2</v>
      </c>
      <c r="O10" s="419">
        <v>18</v>
      </c>
      <c r="P10" s="420"/>
      <c r="Q10" s="162" t="s">
        <v>4</v>
      </c>
      <c r="R10" s="304"/>
      <c r="S10" s="308">
        <v>8</v>
      </c>
      <c r="T10" s="421">
        <v>8</v>
      </c>
      <c r="U10" s="466"/>
      <c r="V10" s="287" t="s">
        <v>1</v>
      </c>
      <c r="W10" s="288"/>
      <c r="X10" s="299"/>
      <c r="Y10" s="295"/>
      <c r="Z10" s="124"/>
      <c r="AA10" s="147"/>
      <c r="AB10" s="148"/>
      <c r="AC10" s="268"/>
      <c r="AD10" s="230"/>
      <c r="AE10" s="423" t="s">
        <v>152</v>
      </c>
      <c r="AF10" s="424"/>
      <c r="AG10" s="424"/>
      <c r="AH10" s="424"/>
      <c r="AI10" s="424"/>
      <c r="AJ10" s="269"/>
      <c r="AK10" s="270"/>
      <c r="AL10" s="141"/>
      <c r="AM10" s="211"/>
      <c r="AN10" s="210" t="str">
        <f>IF(AS10&gt;T10,"#","")</f>
        <v/>
      </c>
      <c r="AO10" s="611" t="s">
        <v>170</v>
      </c>
      <c r="AP10" s="611"/>
      <c r="AQ10" s="611"/>
      <c r="AR10" s="611"/>
      <c r="AS10" s="606">
        <f>IF(CX2=1,CK52,"")</f>
        <v>6.1013175089529712</v>
      </c>
      <c r="AT10" s="607"/>
      <c r="AU10" s="532" t="s">
        <v>1</v>
      </c>
      <c r="AV10" s="533"/>
      <c r="AW10" s="142"/>
      <c r="AX10" s="100"/>
      <c r="AY10" s="130"/>
      <c r="AZ10" s="346"/>
      <c r="BA10" s="343"/>
      <c r="BB10" s="389"/>
      <c r="BC10" s="395"/>
      <c r="BD10" s="395"/>
      <c r="BE10" s="395"/>
      <c r="BF10" s="395"/>
      <c r="BG10" s="395"/>
      <c r="BH10" s="395"/>
      <c r="BI10" s="343"/>
      <c r="BJ10" s="357"/>
      <c r="BK10" s="357"/>
      <c r="BL10" s="357"/>
      <c r="BM10" s="357"/>
      <c r="BN10" s="357"/>
      <c r="BO10" s="357"/>
      <c r="BP10" s="357"/>
      <c r="BQ10" s="357"/>
      <c r="BR10" s="357"/>
      <c r="BS10" s="357"/>
      <c r="BT10" s="359">
        <f>CODE(BT7)</f>
        <v>63</v>
      </c>
      <c r="BU10" s="359">
        <f>LEN(BT7)</f>
        <v>13</v>
      </c>
      <c r="BV10" s="357"/>
      <c r="BW10" s="414">
        <f>BW8-N1</f>
        <v>0</v>
      </c>
      <c r="BX10" s="414"/>
      <c r="BY10" s="357"/>
      <c r="BZ10" s="357"/>
      <c r="CA10" s="357"/>
      <c r="CB10" s="357"/>
      <c r="CC10" s="357"/>
      <c r="CD10" s="357"/>
      <c r="CE10" s="357"/>
      <c r="CF10" s="357"/>
      <c r="CG10" s="357"/>
      <c r="CH10" s="357"/>
      <c r="CI10" s="357"/>
      <c r="CJ10" s="357"/>
      <c r="CK10" s="446" t="s">
        <v>105</v>
      </c>
      <c r="CL10" s="446" t="s">
        <v>108</v>
      </c>
      <c r="CM10" s="357"/>
      <c r="CN10" s="357"/>
      <c r="CO10" s="357"/>
      <c r="CP10" s="357"/>
      <c r="CQ10" s="357"/>
      <c r="CR10" s="357"/>
      <c r="CS10" s="357"/>
      <c r="CT10" s="357"/>
      <c r="CU10" s="359">
        <v>8</v>
      </c>
      <c r="CV10" s="359">
        <v>20</v>
      </c>
      <c r="CW10" s="359"/>
      <c r="CX10" s="358"/>
      <c r="CY10" s="359">
        <v>10</v>
      </c>
      <c r="CZ10" s="359">
        <f t="shared" si="1"/>
        <v>0.78539816339744828</v>
      </c>
      <c r="DA10" s="359">
        <f>IF(T14=CY10,CZ10,0)</f>
        <v>0</v>
      </c>
      <c r="DB10" s="359">
        <f>IF(T16=CY10,CZ10,0)</f>
        <v>0</v>
      </c>
      <c r="DC10" s="358"/>
      <c r="DD10" s="363">
        <f t="shared" si="0"/>
        <v>0.61653755826699697</v>
      </c>
      <c r="DE10" s="359" t="str">
        <f t="shared" si="2"/>
        <v/>
      </c>
      <c r="DF10" s="359" t="str">
        <f t="shared" si="3"/>
        <v/>
      </c>
      <c r="DG10" s="359"/>
      <c r="DH10" s="359"/>
      <c r="DI10" s="359"/>
      <c r="DJ10" s="359"/>
      <c r="DK10" s="359"/>
      <c r="DL10" s="359"/>
      <c r="DM10" s="359"/>
      <c r="DN10" s="408"/>
      <c r="DO10" s="408"/>
      <c r="DP10" s="408"/>
      <c r="DQ10" s="408"/>
      <c r="DR10" s="408"/>
      <c r="DS10" s="408"/>
      <c r="DT10" s="408"/>
      <c r="DU10" s="408"/>
      <c r="DV10" s="408"/>
      <c r="DW10" s="408"/>
      <c r="DX10" s="407"/>
      <c r="DY10" s="407"/>
      <c r="DZ10" s="407"/>
      <c r="EA10" s="358"/>
      <c r="EB10" s="358"/>
      <c r="EC10" s="358"/>
      <c r="ED10" s="358"/>
      <c r="EE10" s="359"/>
      <c r="EF10" s="358"/>
      <c r="EG10" s="358"/>
      <c r="EH10" s="374"/>
      <c r="EI10" s="358"/>
      <c r="EJ10" s="358"/>
      <c r="EK10" s="374"/>
      <c r="EL10" s="374"/>
      <c r="EM10" s="374"/>
      <c r="EN10" s="358"/>
      <c r="EO10" s="358"/>
      <c r="EP10" s="376"/>
      <c r="EQ10" s="376"/>
      <c r="ER10" s="376"/>
      <c r="ES10" s="376"/>
      <c r="ET10" s="376"/>
      <c r="EU10" s="376"/>
      <c r="EV10" s="375"/>
      <c r="EW10" s="375"/>
      <c r="EX10" s="375"/>
      <c r="EY10" s="375"/>
      <c r="EZ10" s="375"/>
      <c r="FA10" s="375"/>
      <c r="FB10" s="375"/>
      <c r="FC10" s="375"/>
      <c r="FD10" s="360"/>
      <c r="FE10" s="360"/>
      <c r="FF10" s="375"/>
      <c r="FG10" s="375"/>
      <c r="FH10" s="354"/>
      <c r="FI10" s="354"/>
      <c r="FJ10" s="354"/>
      <c r="FK10" s="354"/>
      <c r="FL10" s="354"/>
      <c r="FM10" s="354"/>
      <c r="FN10" s="355"/>
      <c r="FO10" s="351"/>
      <c r="FP10" s="351"/>
      <c r="FQ10" s="350"/>
      <c r="FR10" s="350"/>
      <c r="FS10" s="350"/>
      <c r="FT10" s="112"/>
      <c r="FU10" s="112"/>
      <c r="FV10" s="112"/>
      <c r="FW10" s="112"/>
      <c r="FX10" s="112"/>
      <c r="FY10" s="112"/>
      <c r="FZ10" s="112"/>
      <c r="GA10" s="112"/>
      <c r="GB10" s="112"/>
      <c r="GC10" s="112"/>
      <c r="GD10" s="112"/>
      <c r="GE10" s="112"/>
      <c r="GF10" s="112"/>
      <c r="GG10" s="112"/>
      <c r="GH10" s="112"/>
      <c r="GI10" s="112"/>
      <c r="GJ10" s="112"/>
      <c r="GK10" s="112"/>
      <c r="GL10" s="112"/>
      <c r="GM10" s="112"/>
      <c r="GN10" s="112"/>
      <c r="GO10" s="112"/>
      <c r="GP10" s="112"/>
      <c r="GQ10" s="112"/>
      <c r="GR10" s="112"/>
      <c r="GS10" s="112"/>
      <c r="GT10" s="112"/>
      <c r="GU10" s="112"/>
      <c r="GV10" s="112"/>
      <c r="GW10" s="112"/>
      <c r="GX10" s="112"/>
      <c r="GY10" s="112"/>
      <c r="GZ10" s="112"/>
      <c r="HA10" s="112"/>
      <c r="HB10" s="112"/>
      <c r="HC10" s="116"/>
      <c r="HD10" s="116"/>
      <c r="HE10" s="112"/>
      <c r="HF10" s="112"/>
      <c r="HG10" s="112"/>
      <c r="HH10" s="112"/>
      <c r="HI10" s="112"/>
      <c r="HJ10" s="112"/>
      <c r="HK10" s="112"/>
      <c r="HL10" s="112"/>
      <c r="HM10" s="112"/>
      <c r="HN10" s="112"/>
      <c r="HO10" s="112"/>
      <c r="HP10" s="112"/>
      <c r="HQ10" s="112"/>
      <c r="HR10" s="112"/>
      <c r="HS10" s="112"/>
      <c r="HT10" s="112"/>
      <c r="HU10" s="112"/>
      <c r="HV10" s="112"/>
      <c r="HW10" s="112"/>
      <c r="HX10" s="112"/>
      <c r="HY10" s="112"/>
      <c r="HZ10" s="112"/>
      <c r="IA10" s="112"/>
      <c r="IB10" s="111"/>
      <c r="IC10" s="111"/>
      <c r="ID10" s="111"/>
      <c r="IE10" s="111"/>
      <c r="IF10" s="112"/>
      <c r="IG10" s="112"/>
      <c r="IH10" s="112"/>
      <c r="II10" s="112"/>
      <c r="IJ10" s="112"/>
      <c r="IK10" s="112"/>
      <c r="IL10" s="112"/>
      <c r="IM10" s="111"/>
      <c r="IN10" s="114"/>
      <c r="IO10" s="114"/>
      <c r="IP10" s="111"/>
      <c r="IQ10" s="111"/>
      <c r="IR10" s="111"/>
      <c r="IS10" s="111"/>
      <c r="IT10" s="112"/>
      <c r="IU10" s="112"/>
      <c r="IV10" s="112"/>
      <c r="IW10" s="112"/>
      <c r="IX10" s="112"/>
      <c r="IY10" s="112"/>
      <c r="IZ10" s="112"/>
      <c r="JA10" s="112"/>
      <c r="JB10" s="112"/>
      <c r="JC10" s="112"/>
      <c r="JD10" s="112"/>
      <c r="JE10" s="111"/>
      <c r="JF10" s="112"/>
      <c r="JG10" s="112"/>
      <c r="JH10" s="112"/>
      <c r="JI10" s="112"/>
      <c r="JJ10" s="111"/>
      <c r="JK10" s="112"/>
      <c r="JL10" s="112"/>
      <c r="JM10" s="112"/>
      <c r="JN10" s="112"/>
      <c r="JO10" s="112"/>
      <c r="JP10" s="112"/>
      <c r="JQ10" s="112"/>
      <c r="JR10" s="112"/>
      <c r="JS10" s="111"/>
      <c r="JT10" s="112"/>
      <c r="JU10" s="111"/>
      <c r="JV10" s="112"/>
      <c r="JW10" s="111"/>
      <c r="JX10" s="112"/>
      <c r="JY10" s="111"/>
      <c r="JZ10" s="112"/>
      <c r="KA10" s="111"/>
    </row>
    <row r="11" spans="1:287" ht="13.5" customHeight="1" x14ac:dyDescent="0.25">
      <c r="A11" s="244"/>
      <c r="B11" s="338" t="s">
        <v>61</v>
      </c>
      <c r="C11" s="413">
        <f>IF(T8&gt;0,T8,"")</f>
        <v>40</v>
      </c>
      <c r="D11" s="412"/>
      <c r="E11" s="340" t="s">
        <v>5</v>
      </c>
      <c r="F11" s="290"/>
      <c r="G11" s="271"/>
      <c r="H11" s="272"/>
      <c r="I11" s="417">
        <f>IF(O16&gt;0,O16,0)</f>
        <v>2500</v>
      </c>
      <c r="J11" s="418"/>
      <c r="K11" s="415" t="s">
        <v>45</v>
      </c>
      <c r="L11" s="416"/>
      <c r="M11" s="316"/>
      <c r="N11" s="163"/>
      <c r="O11" s="455" t="s">
        <v>41</v>
      </c>
      <c r="P11" s="452"/>
      <c r="Q11" s="452"/>
      <c r="R11" s="452"/>
      <c r="S11" s="309"/>
      <c r="T11" s="284" t="s">
        <v>6</v>
      </c>
      <c r="U11" s="285"/>
      <c r="V11" s="286"/>
      <c r="W11" s="286"/>
      <c r="X11" s="300"/>
      <c r="Y11" s="294"/>
      <c r="Z11" s="125"/>
      <c r="AA11" s="146"/>
      <c r="AB11" s="141"/>
      <c r="AC11" s="211"/>
      <c r="AD11" s="267">
        <v>15</v>
      </c>
      <c r="AE11" s="425">
        <v>21000</v>
      </c>
      <c r="AF11" s="426"/>
      <c r="AG11" s="426"/>
      <c r="AH11" s="426"/>
      <c r="AI11" s="427"/>
      <c r="AJ11" s="230"/>
      <c r="AK11" s="234"/>
      <c r="AL11" s="141"/>
      <c r="AM11" s="433" t="s">
        <v>150</v>
      </c>
      <c r="AN11" s="434"/>
      <c r="AO11" s="434"/>
      <c r="AP11" s="434"/>
      <c r="AQ11" s="434"/>
      <c r="AR11" s="434"/>
      <c r="AS11" s="435">
        <f>IF(CX2*CT57=1,CK54,"")</f>
        <v>1.0677305640667698</v>
      </c>
      <c r="AT11" s="608"/>
      <c r="AU11" s="437" t="s">
        <v>1</v>
      </c>
      <c r="AV11" s="438"/>
      <c r="AW11" s="142"/>
      <c r="CK11" s="447"/>
      <c r="CL11" s="447"/>
      <c r="CU11" s="359">
        <v>9.5</v>
      </c>
      <c r="CV11" s="359">
        <v>22</v>
      </c>
      <c r="CX11" s="358"/>
      <c r="CY11" s="359">
        <v>12.5</v>
      </c>
      <c r="CZ11" s="359">
        <f t="shared" si="1"/>
        <v>1.227184630308513</v>
      </c>
      <c r="DA11" s="359">
        <f>IF(T14=CY11,CZ11,0)</f>
        <v>1.227184630308513</v>
      </c>
      <c r="DB11" s="359">
        <f>IF(T16=CY11,CZ11,0)</f>
        <v>0</v>
      </c>
      <c r="DD11" s="363">
        <f t="shared" si="0"/>
        <v>0.96333993479218272</v>
      </c>
      <c r="DE11" s="359">
        <f t="shared" si="2"/>
        <v>0.96333993479218272</v>
      </c>
      <c r="DF11" s="359" t="str">
        <f t="shared" si="3"/>
        <v/>
      </c>
      <c r="EH11" s="374"/>
      <c r="EK11" s="374"/>
      <c r="EL11" s="374"/>
      <c r="EM11" s="374"/>
      <c r="EW11" s="360"/>
      <c r="FQ11" s="350"/>
      <c r="FR11" s="350"/>
      <c r="FS11" s="350"/>
      <c r="FT11" s="116"/>
      <c r="FU11" s="116"/>
      <c r="FV11" s="116"/>
      <c r="FW11" s="116"/>
      <c r="FX11" s="116"/>
      <c r="FY11" s="116"/>
      <c r="FZ11" s="116"/>
      <c r="GA11" s="116"/>
      <c r="GB11" s="116"/>
      <c r="GC11" s="116"/>
      <c r="GD11" s="116"/>
      <c r="HC11" s="116"/>
      <c r="HD11" s="116"/>
    </row>
    <row r="12" spans="1:287" ht="13.5" customHeight="1" x14ac:dyDescent="0.25">
      <c r="A12" s="245"/>
      <c r="B12" s="509" t="s">
        <v>169</v>
      </c>
      <c r="C12" s="510"/>
      <c r="D12" s="510"/>
      <c r="E12" s="510"/>
      <c r="F12" s="510"/>
      <c r="G12" s="510"/>
      <c r="H12" s="273"/>
      <c r="I12" s="273"/>
      <c r="J12" s="273"/>
      <c r="K12" s="273"/>
      <c r="L12" s="274"/>
      <c r="M12" s="317"/>
      <c r="N12" s="164">
        <v>3</v>
      </c>
      <c r="O12" s="419">
        <v>18</v>
      </c>
      <c r="P12" s="420"/>
      <c r="Q12" s="162" t="s">
        <v>4</v>
      </c>
      <c r="R12" s="305"/>
      <c r="S12" s="308">
        <v>9</v>
      </c>
      <c r="T12" s="516">
        <v>250</v>
      </c>
      <c r="U12" s="517"/>
      <c r="V12" s="498" t="s">
        <v>7</v>
      </c>
      <c r="W12" s="498"/>
      <c r="X12" s="300"/>
      <c r="Y12" s="294"/>
      <c r="Z12" s="125"/>
      <c r="AA12" s="146"/>
      <c r="AB12" s="141"/>
      <c r="AC12" s="211"/>
      <c r="AD12" s="230"/>
      <c r="AE12" s="230"/>
      <c r="AF12" s="230"/>
      <c r="AG12" s="230"/>
      <c r="AH12" s="230"/>
      <c r="AI12" s="230"/>
      <c r="AJ12" s="230"/>
      <c r="AK12" s="234"/>
      <c r="AL12" s="141"/>
      <c r="AM12" s="604" t="s">
        <v>129</v>
      </c>
      <c r="AN12" s="605"/>
      <c r="AO12" s="605"/>
      <c r="AP12" s="605"/>
      <c r="AQ12" s="605"/>
      <c r="AR12" s="605"/>
      <c r="AS12" s="606">
        <f>IF(CX2*CT57=1,CK55,"")</f>
        <v>3.2143162021487131</v>
      </c>
      <c r="AT12" s="607"/>
      <c r="AU12" s="532" t="s">
        <v>130</v>
      </c>
      <c r="AV12" s="533"/>
      <c r="AW12" s="142"/>
      <c r="CK12" s="447"/>
      <c r="CL12" s="447"/>
      <c r="CU12" s="359">
        <v>10</v>
      </c>
      <c r="CV12" s="359">
        <v>25</v>
      </c>
      <c r="CY12" s="359">
        <v>16</v>
      </c>
      <c r="CZ12" s="359">
        <f t="shared" si="1"/>
        <v>2.0106192982974678</v>
      </c>
      <c r="DA12" s="359">
        <f>IF(T14=CY12,CZ12,0)</f>
        <v>0</v>
      </c>
      <c r="DD12" s="363">
        <f t="shared" si="0"/>
        <v>1.5783361491635122</v>
      </c>
      <c r="DE12" s="359" t="str">
        <f t="shared" si="2"/>
        <v/>
      </c>
      <c r="DF12" s="359" t="str">
        <f t="shared" si="3"/>
        <v/>
      </c>
      <c r="EF12" s="358"/>
      <c r="EG12" s="358"/>
      <c r="EH12" s="374"/>
      <c r="EI12" s="358"/>
      <c r="EJ12" s="358"/>
      <c r="EK12" s="374"/>
      <c r="EL12" s="374"/>
      <c r="EM12" s="374"/>
      <c r="EN12" s="358"/>
      <c r="EO12" s="358"/>
      <c r="EP12" s="376"/>
      <c r="EQ12" s="376"/>
      <c r="ER12" s="376"/>
      <c r="ES12" s="376"/>
      <c r="ET12" s="376"/>
      <c r="EU12" s="376"/>
      <c r="EW12" s="360"/>
      <c r="FQ12" s="350"/>
      <c r="FR12" s="350"/>
      <c r="FS12" s="350"/>
      <c r="FY12" s="116"/>
      <c r="HC12" s="116"/>
      <c r="HD12" s="116"/>
    </row>
    <row r="13" spans="1:287" ht="13.5" customHeight="1" x14ac:dyDescent="0.25">
      <c r="A13" s="246"/>
      <c r="B13" s="292"/>
      <c r="C13" s="275"/>
      <c r="D13" s="276"/>
      <c r="E13" s="276"/>
      <c r="F13" s="276"/>
      <c r="G13" s="276"/>
      <c r="H13" s="277"/>
      <c r="I13" s="277"/>
      <c r="J13" s="277"/>
      <c r="K13" s="277"/>
      <c r="L13" s="277"/>
      <c r="M13" s="318"/>
      <c r="N13" s="165"/>
      <c r="O13" s="455" t="s">
        <v>12</v>
      </c>
      <c r="P13" s="452"/>
      <c r="Q13" s="452"/>
      <c r="R13" s="452"/>
      <c r="S13" s="310"/>
      <c r="T13" s="453" t="s">
        <v>15</v>
      </c>
      <c r="U13" s="453"/>
      <c r="V13" s="453"/>
      <c r="W13" s="453"/>
      <c r="X13" s="454"/>
      <c r="Y13" s="294"/>
      <c r="Z13" s="125"/>
      <c r="AA13" s="146"/>
      <c r="AB13" s="141"/>
      <c r="AC13" s="212"/>
      <c r="AD13" s="213"/>
      <c r="AE13" s="213"/>
      <c r="AF13" s="213"/>
      <c r="AG13" s="213"/>
      <c r="AH13" s="213"/>
      <c r="AI13" s="213"/>
      <c r="AJ13" s="213"/>
      <c r="AK13" s="214"/>
      <c r="AL13" s="141"/>
      <c r="AM13" s="212"/>
      <c r="AN13" s="213"/>
      <c r="AO13" s="213"/>
      <c r="AP13" s="213"/>
      <c r="AQ13" s="213"/>
      <c r="AR13" s="213"/>
      <c r="AS13" s="213"/>
      <c r="AT13" s="213"/>
      <c r="AU13" s="213"/>
      <c r="AV13" s="214"/>
      <c r="AW13" s="142"/>
      <c r="CK13" s="447"/>
      <c r="CL13" s="447"/>
      <c r="CN13" s="448" t="s">
        <v>114</v>
      </c>
      <c r="CO13" s="449"/>
      <c r="CU13" s="359">
        <v>12.5</v>
      </c>
      <c r="CV13" s="359">
        <v>32</v>
      </c>
      <c r="CY13" s="359">
        <v>20</v>
      </c>
      <c r="CZ13" s="359">
        <f t="shared" si="1"/>
        <v>3.1415926535897931</v>
      </c>
      <c r="DA13" s="359">
        <f>IF(T14=CY13,CZ13,0)</f>
        <v>0</v>
      </c>
      <c r="DD13" s="363">
        <f t="shared" si="0"/>
        <v>2.4661502330679879</v>
      </c>
      <c r="DE13" s="359" t="str">
        <f t="shared" si="2"/>
        <v/>
      </c>
      <c r="DF13" s="359" t="str">
        <f t="shared" si="3"/>
        <v/>
      </c>
      <c r="DR13" s="407"/>
      <c r="ED13" s="362"/>
      <c r="EI13" s="362"/>
      <c r="EN13" s="362"/>
      <c r="EO13" s="358"/>
      <c r="EW13" s="360"/>
      <c r="FD13" s="377"/>
      <c r="FN13" s="355"/>
      <c r="GF13" s="111"/>
      <c r="HC13" s="111"/>
      <c r="HD13" s="111"/>
      <c r="HE13" s="111"/>
      <c r="HG13" s="113"/>
      <c r="HQ13" s="113"/>
      <c r="HS13" s="113"/>
      <c r="HW13" s="113"/>
      <c r="HZ13" s="113"/>
      <c r="IF13" s="113"/>
      <c r="IX13" s="114"/>
      <c r="JM13" s="111"/>
      <c r="JN13" s="111"/>
      <c r="JO13" s="111"/>
      <c r="JQ13" s="111"/>
    </row>
    <row r="14" spans="1:287" ht="13.5" customHeight="1" x14ac:dyDescent="0.25">
      <c r="A14" s="245"/>
      <c r="B14" s="292"/>
      <c r="C14" s="275"/>
      <c r="D14" s="276"/>
      <c r="E14" s="276"/>
      <c r="F14" s="278">
        <f>IF(O18&gt;0,O18,0)</f>
        <v>3</v>
      </c>
      <c r="G14" s="279" t="s">
        <v>4</v>
      </c>
      <c r="H14" s="547">
        <f>IF(O10&gt;0,O10,0)</f>
        <v>18</v>
      </c>
      <c r="I14" s="418"/>
      <c r="J14" s="279" t="s">
        <v>4</v>
      </c>
      <c r="K14" s="513">
        <f>IF(O14&gt;0,O14,0)</f>
        <v>6.5</v>
      </c>
      <c r="L14" s="513"/>
      <c r="M14" s="319" t="s">
        <v>4</v>
      </c>
      <c r="N14" s="161">
        <v>4</v>
      </c>
      <c r="O14" s="419">
        <v>6.5</v>
      </c>
      <c r="P14" s="420"/>
      <c r="Q14" s="162" t="s">
        <v>4</v>
      </c>
      <c r="R14" s="304"/>
      <c r="S14" s="311">
        <v>10</v>
      </c>
      <c r="T14" s="421">
        <v>12.5</v>
      </c>
      <c r="U14" s="466"/>
      <c r="V14" s="287" t="s">
        <v>3</v>
      </c>
      <c r="W14" s="289" t="s">
        <v>8</v>
      </c>
      <c r="X14" s="301">
        <v>50</v>
      </c>
      <c r="Y14" s="294"/>
      <c r="Z14" s="125"/>
      <c r="AA14" s="146"/>
      <c r="AB14" s="141"/>
      <c r="AC14" s="531" t="str">
        <f>E3</f>
        <v xml:space="preserve">Leandro Bertaco Lúcio  CREA-SP:5069233488         </v>
      </c>
      <c r="AD14" s="531"/>
      <c r="AE14" s="531"/>
      <c r="AF14" s="531"/>
      <c r="AG14" s="531"/>
      <c r="AH14" s="531"/>
      <c r="AI14" s="531"/>
      <c r="AJ14" s="531"/>
      <c r="AK14" s="531"/>
      <c r="AL14" s="531"/>
      <c r="AM14" s="531"/>
      <c r="AN14" s="531"/>
      <c r="AO14" s="531"/>
      <c r="AP14" s="531"/>
      <c r="AQ14" s="531"/>
      <c r="AR14" s="531"/>
      <c r="AS14" s="531"/>
      <c r="AT14" s="531"/>
      <c r="AU14" s="531"/>
      <c r="AV14" s="531"/>
      <c r="AW14" s="142"/>
      <c r="CB14" s="357" t="s">
        <v>100</v>
      </c>
      <c r="CC14" s="406"/>
      <c r="CD14" s="406"/>
      <c r="CE14" s="406"/>
      <c r="CF14" s="406"/>
      <c r="CG14" s="405">
        <f>IF(CB14=AE7,1,0)</f>
        <v>0</v>
      </c>
      <c r="CH14" s="405">
        <f>CG27</f>
        <v>3</v>
      </c>
      <c r="CI14" s="405">
        <f>CG28</f>
        <v>0</v>
      </c>
      <c r="CJ14" s="405">
        <f>SUM(CG14:CI14)</f>
        <v>3</v>
      </c>
      <c r="CK14" s="405">
        <f>IF(CJ14=4,2.6,0)</f>
        <v>0</v>
      </c>
      <c r="CL14" s="405">
        <f>IF(CJ14=6,1.5,0)</f>
        <v>0</v>
      </c>
      <c r="CN14" s="405">
        <f>SUM(CK14:CK18)</f>
        <v>0</v>
      </c>
      <c r="CO14" s="405">
        <f>SUM(CL14:CL18)</f>
        <v>0</v>
      </c>
      <c r="CV14" s="359">
        <v>40</v>
      </c>
      <c r="CY14" s="359">
        <v>22</v>
      </c>
      <c r="CZ14" s="359">
        <f t="shared" si="1"/>
        <v>3.8013271108436499</v>
      </c>
      <c r="DA14" s="359">
        <f>IF(T14=CY14,CZ14,0)</f>
        <v>0</v>
      </c>
      <c r="DD14" s="363">
        <f t="shared" si="0"/>
        <v>2.9840417820122651</v>
      </c>
      <c r="DE14" s="359" t="str">
        <f t="shared" si="2"/>
        <v/>
      </c>
      <c r="DF14" s="359" t="str">
        <f t="shared" si="3"/>
        <v/>
      </c>
      <c r="DR14" s="407"/>
      <c r="ED14" s="362"/>
      <c r="EI14" s="362"/>
      <c r="EN14" s="362"/>
      <c r="EO14" s="358"/>
      <c r="EW14" s="360"/>
      <c r="FD14" s="377"/>
      <c r="FN14" s="355"/>
      <c r="GF14" s="111"/>
      <c r="HC14" s="111"/>
      <c r="HD14" s="111"/>
      <c r="HE14" s="111"/>
      <c r="HG14" s="113"/>
      <c r="HQ14" s="113"/>
      <c r="HS14" s="113"/>
      <c r="HW14" s="113"/>
      <c r="HZ14" s="113"/>
      <c r="IF14" s="113"/>
      <c r="IX14" s="114"/>
      <c r="JM14" s="111"/>
      <c r="JN14" s="111"/>
      <c r="JO14" s="111"/>
      <c r="JQ14" s="111"/>
    </row>
    <row r="15" spans="1:287" ht="13.5" customHeight="1" x14ac:dyDescent="0.25">
      <c r="A15" s="245"/>
      <c r="B15" s="133"/>
      <c r="C15" s="134"/>
      <c r="D15" s="135"/>
      <c r="E15" s="135"/>
      <c r="F15" s="135"/>
      <c r="G15" s="135"/>
      <c r="H15" s="135"/>
      <c r="I15" s="135"/>
      <c r="J15" s="135"/>
      <c r="K15" s="135"/>
      <c r="L15" s="135"/>
      <c r="M15" s="136"/>
      <c r="N15" s="165"/>
      <c r="O15" s="455" t="s">
        <v>11</v>
      </c>
      <c r="P15" s="452"/>
      <c r="Q15" s="452"/>
      <c r="R15" s="452"/>
      <c r="S15" s="310"/>
      <c r="T15" s="453" t="s">
        <v>17</v>
      </c>
      <c r="U15" s="498"/>
      <c r="V15" s="498"/>
      <c r="W15" s="498"/>
      <c r="X15" s="499"/>
      <c r="Y15" s="294"/>
      <c r="Z15" s="125"/>
      <c r="AA15" s="146"/>
      <c r="AB15" s="141"/>
      <c r="AC15" s="141"/>
      <c r="AD15" s="569">
        <f>AS9</f>
        <v>0.31192861058019472</v>
      </c>
      <c r="AE15" s="570"/>
      <c r="AF15" s="149" t="s">
        <v>5</v>
      </c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2"/>
      <c r="CB15" s="357" t="s">
        <v>101</v>
      </c>
      <c r="CC15" s="406"/>
      <c r="CD15" s="406"/>
      <c r="CE15" s="406"/>
      <c r="CF15" s="406"/>
      <c r="CG15" s="405">
        <f>IF(CB15=AE7,1,0)</f>
        <v>0</v>
      </c>
      <c r="CH15" s="405">
        <f>CH14</f>
        <v>3</v>
      </c>
      <c r="CI15" s="405">
        <f>CI14</f>
        <v>0</v>
      </c>
      <c r="CJ15" s="405">
        <f>SUM(CG15:CI15)</f>
        <v>3</v>
      </c>
      <c r="CK15" s="405">
        <f>IF(CJ15=4,8,0)</f>
        <v>0</v>
      </c>
      <c r="CL15" s="405">
        <f>IF(CJ15=6,5,0)</f>
        <v>0</v>
      </c>
      <c r="CO15" s="378">
        <f>SUM(CN14:CO14)</f>
        <v>0</v>
      </c>
      <c r="CY15" s="359">
        <v>25</v>
      </c>
      <c r="CZ15" s="359">
        <f t="shared" si="1"/>
        <v>4.908738521234052</v>
      </c>
      <c r="DA15" s="359">
        <f>IF(T14=CY15,CZ15,0)</f>
        <v>0</v>
      </c>
      <c r="DD15" s="363">
        <f t="shared" si="0"/>
        <v>3.8533597391687309</v>
      </c>
      <c r="DE15" s="359" t="str">
        <f t="shared" si="2"/>
        <v/>
      </c>
      <c r="DF15" s="359" t="str">
        <f t="shared" si="3"/>
        <v/>
      </c>
      <c r="DR15" s="407"/>
      <c r="ED15" s="362"/>
      <c r="EI15" s="362"/>
      <c r="EN15" s="362"/>
      <c r="EO15" s="358"/>
      <c r="EW15" s="360"/>
      <c r="FD15" s="377"/>
      <c r="FN15" s="355"/>
      <c r="GF15" s="111"/>
      <c r="HC15" s="111"/>
      <c r="HD15" s="111"/>
      <c r="HE15" s="111"/>
      <c r="HG15" s="113"/>
      <c r="HQ15" s="113"/>
      <c r="HS15" s="113"/>
      <c r="HW15" s="113"/>
      <c r="HZ15" s="113"/>
      <c r="IF15" s="113"/>
      <c r="IX15" s="114"/>
      <c r="JM15" s="111"/>
      <c r="JN15" s="111"/>
      <c r="JO15" s="111"/>
      <c r="JQ15" s="111"/>
    </row>
    <row r="16" spans="1:287" ht="13.5" customHeight="1" x14ac:dyDescent="0.25">
      <c r="A16" s="245"/>
      <c r="B16" s="18"/>
      <c r="C16" s="17"/>
      <c r="D16" s="1"/>
      <c r="E16" s="1"/>
      <c r="F16" s="1"/>
      <c r="G16" s="1"/>
      <c r="H16" s="1"/>
      <c r="I16" s="1"/>
      <c r="J16" s="1"/>
      <c r="K16" s="1"/>
      <c r="L16" s="1"/>
      <c r="M16" s="2"/>
      <c r="N16" s="166">
        <v>5</v>
      </c>
      <c r="O16" s="467">
        <v>2500</v>
      </c>
      <c r="P16" s="468"/>
      <c r="Q16" s="162" t="s">
        <v>45</v>
      </c>
      <c r="R16" s="305"/>
      <c r="S16" s="311">
        <v>11</v>
      </c>
      <c r="T16" s="421">
        <v>6.3</v>
      </c>
      <c r="U16" s="500"/>
      <c r="V16" s="287" t="s">
        <v>3</v>
      </c>
      <c r="W16" s="289" t="s">
        <v>8</v>
      </c>
      <c r="X16" s="302">
        <v>50</v>
      </c>
      <c r="Y16" s="294"/>
      <c r="Z16" s="125"/>
      <c r="AA16" s="146"/>
      <c r="AB16" s="141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41"/>
      <c r="AW16" s="142"/>
      <c r="CB16" s="357" t="s">
        <v>102</v>
      </c>
      <c r="CC16" s="406"/>
      <c r="CD16" s="406"/>
      <c r="CE16" s="406"/>
      <c r="CF16" s="406"/>
      <c r="CG16" s="405">
        <f>IF(CB16=AE7,1,0)</f>
        <v>0</v>
      </c>
      <c r="CH16" s="405">
        <f t="shared" ref="CH16:CH17" si="4">CH15</f>
        <v>3</v>
      </c>
      <c r="CI16" s="405">
        <f t="shared" ref="CI16:CI18" si="5">CI15</f>
        <v>0</v>
      </c>
      <c r="CJ16" s="405">
        <f>SUM(CG16:CI16)</f>
        <v>3</v>
      </c>
      <c r="CK16" s="405">
        <f>IF(CJ16=4,20,0)</f>
        <v>0</v>
      </c>
      <c r="CL16" s="405">
        <f>IF(CJ16=6,12.5,0)</f>
        <v>0</v>
      </c>
      <c r="CY16" s="359">
        <v>32</v>
      </c>
      <c r="CZ16" s="359">
        <f t="shared" si="1"/>
        <v>8.0424771931898711</v>
      </c>
      <c r="DA16" s="359">
        <f>IF(T14=CY16,CZ16,0)</f>
        <v>0</v>
      </c>
      <c r="DD16" s="363">
        <f t="shared" si="0"/>
        <v>6.3133445966540487</v>
      </c>
      <c r="DE16" s="359" t="str">
        <f t="shared" si="2"/>
        <v/>
      </c>
      <c r="DF16" s="359" t="str">
        <f t="shared" si="3"/>
        <v/>
      </c>
      <c r="ED16" s="362"/>
      <c r="EI16" s="362"/>
      <c r="EN16" s="362"/>
      <c r="EO16" s="358"/>
      <c r="EW16" s="360"/>
      <c r="FD16" s="377"/>
      <c r="FN16" s="355"/>
      <c r="GF16" s="111"/>
      <c r="HC16" s="111"/>
      <c r="HD16" s="111"/>
      <c r="HE16" s="111"/>
      <c r="HG16" s="113"/>
      <c r="HQ16" s="113"/>
      <c r="HS16" s="113"/>
      <c r="HW16" s="113"/>
      <c r="HZ16" s="113"/>
      <c r="IF16" s="113"/>
      <c r="IX16" s="114"/>
      <c r="JM16" s="111"/>
      <c r="JN16" s="111"/>
      <c r="JO16" s="111"/>
      <c r="JQ16" s="111"/>
    </row>
    <row r="17" spans="1:277" ht="13.5" customHeight="1" x14ac:dyDescent="0.25">
      <c r="A17" s="245"/>
      <c r="B17" s="18"/>
      <c r="C17" s="17"/>
      <c r="D17" s="1"/>
      <c r="E17" s="1"/>
      <c r="F17" s="1"/>
      <c r="G17" s="1"/>
      <c r="H17" s="1"/>
      <c r="I17" s="1"/>
      <c r="J17" s="1"/>
      <c r="K17" s="1"/>
      <c r="L17" s="1"/>
      <c r="M17" s="6"/>
      <c r="N17" s="167"/>
      <c r="O17" s="451" t="s">
        <v>10</v>
      </c>
      <c r="P17" s="452"/>
      <c r="Q17" s="452"/>
      <c r="R17" s="452"/>
      <c r="S17" s="312"/>
      <c r="T17" s="497" t="s">
        <v>71</v>
      </c>
      <c r="U17" s="498"/>
      <c r="V17" s="498"/>
      <c r="W17" s="498"/>
      <c r="X17" s="499"/>
      <c r="Y17" s="170"/>
      <c r="Z17" s="108"/>
      <c r="AA17" s="144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2"/>
      <c r="CB17" s="357" t="s">
        <v>103</v>
      </c>
      <c r="CC17" s="406"/>
      <c r="CD17" s="406"/>
      <c r="CE17" s="406"/>
      <c r="CF17" s="406"/>
      <c r="CG17" s="405">
        <f>IF(CB17=AE7,1,0)</f>
        <v>0</v>
      </c>
      <c r="CH17" s="405">
        <f t="shared" si="4"/>
        <v>3</v>
      </c>
      <c r="CI17" s="405">
        <f t="shared" si="5"/>
        <v>0</v>
      </c>
      <c r="CJ17" s="405">
        <f>SUM(CG17:CI17)</f>
        <v>3</v>
      </c>
      <c r="CK17" s="405">
        <f>IF(CJ17=4,2,0)</f>
        <v>0</v>
      </c>
      <c r="CL17" s="405">
        <f>IF(CJ17=6,2,0)</f>
        <v>0</v>
      </c>
      <c r="CY17" s="359">
        <v>40</v>
      </c>
      <c r="CZ17" s="359">
        <f t="shared" si="1"/>
        <v>12.566370614359172</v>
      </c>
      <c r="DA17" s="359">
        <f>IF(T14=CY17,CZ17,0)</f>
        <v>0</v>
      </c>
      <c r="DD17" s="363">
        <f t="shared" si="0"/>
        <v>9.8646009322719515</v>
      </c>
      <c r="DE17" s="359" t="str">
        <f t="shared" si="2"/>
        <v/>
      </c>
      <c r="DF17" s="359" t="str">
        <f t="shared" si="3"/>
        <v/>
      </c>
      <c r="ED17" s="362"/>
      <c r="EI17" s="362"/>
      <c r="EN17" s="362"/>
      <c r="EO17" s="358"/>
      <c r="EW17" s="360"/>
      <c r="FD17" s="377"/>
      <c r="FN17" s="355"/>
      <c r="GF17" s="111"/>
      <c r="HC17" s="111"/>
      <c r="HD17" s="111"/>
      <c r="HE17" s="111"/>
      <c r="HG17" s="113"/>
      <c r="HQ17" s="113"/>
      <c r="HS17" s="113"/>
      <c r="HW17" s="113"/>
      <c r="HZ17" s="113"/>
      <c r="IF17" s="113"/>
      <c r="IX17" s="114"/>
      <c r="JM17" s="111"/>
      <c r="JN17" s="111"/>
      <c r="JO17" s="111"/>
      <c r="JQ17" s="111"/>
    </row>
    <row r="18" spans="1:277" ht="13.5" customHeight="1" x14ac:dyDescent="0.25">
      <c r="A18" s="245"/>
      <c r="B18" s="18"/>
      <c r="C18" s="17"/>
      <c r="D18" s="1"/>
      <c r="E18" s="1"/>
      <c r="F18" s="1"/>
      <c r="G18" s="1"/>
      <c r="H18" s="1"/>
      <c r="I18" s="1"/>
      <c r="J18" s="1"/>
      <c r="K18" s="1"/>
      <c r="L18" s="1"/>
      <c r="M18" s="2"/>
      <c r="N18" s="166">
        <v>6</v>
      </c>
      <c r="O18" s="419">
        <v>3</v>
      </c>
      <c r="P18" s="420"/>
      <c r="Q18" s="162" t="s">
        <v>4</v>
      </c>
      <c r="R18" s="306"/>
      <c r="S18" s="311">
        <v>12</v>
      </c>
      <c r="T18" s="421">
        <v>4</v>
      </c>
      <c r="U18" s="422"/>
      <c r="V18" s="283" t="s">
        <v>5</v>
      </c>
      <c r="W18" s="280"/>
      <c r="X18" s="298"/>
      <c r="Y18" s="170"/>
      <c r="Z18" s="108"/>
      <c r="AA18" s="144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2"/>
      <c r="CB18" s="357" t="s">
        <v>109</v>
      </c>
      <c r="CC18" s="406"/>
      <c r="CD18" s="406"/>
      <c r="CE18" s="406"/>
      <c r="CF18" s="406"/>
      <c r="CG18" s="405">
        <f>IF(CB18=AE7,1,0)</f>
        <v>0</v>
      </c>
      <c r="CH18" s="405">
        <f>CH17</f>
        <v>3</v>
      </c>
      <c r="CI18" s="405">
        <f t="shared" si="5"/>
        <v>0</v>
      </c>
      <c r="CJ18" s="405">
        <f>SUM(CG18:CI18)</f>
        <v>3</v>
      </c>
      <c r="CK18" s="405">
        <f>IF(CJ18=4,0.55,0)</f>
        <v>0</v>
      </c>
      <c r="CL18" s="405">
        <f>IF(CJ18=6,0.55,0)</f>
        <v>0</v>
      </c>
      <c r="CN18" s="448" t="s">
        <v>115</v>
      </c>
      <c r="CO18" s="449"/>
      <c r="DA18" s="359">
        <f>IF(CX2=1,SUM(DA8:DA17),0)</f>
        <v>1.227184630308513</v>
      </c>
      <c r="DB18" s="359">
        <f>IF(CX2=1,SUM(DB4:DB11),0)</f>
        <v>0.31172453105244718</v>
      </c>
      <c r="DE18" s="359">
        <f>SUM(DE4:DE17)</f>
        <v>0.96333993479218272</v>
      </c>
      <c r="DF18" s="359">
        <f>SUM(DF4:DF17)</f>
        <v>0.24470375687617105</v>
      </c>
      <c r="DG18" s="448" t="s">
        <v>26</v>
      </c>
      <c r="DH18" s="448"/>
      <c r="DI18" s="448"/>
      <c r="DJ18" s="448"/>
      <c r="DK18" s="448"/>
      <c r="DL18" s="448"/>
      <c r="ED18" s="362"/>
      <c r="EI18" s="362"/>
      <c r="EN18" s="362"/>
      <c r="EO18" s="358"/>
      <c r="EW18" s="360"/>
      <c r="FD18" s="377"/>
      <c r="FN18" s="355"/>
      <c r="GF18" s="111"/>
      <c r="HC18" s="111"/>
      <c r="HD18" s="111"/>
      <c r="HE18" s="111"/>
      <c r="HG18" s="113"/>
      <c r="HQ18" s="113"/>
      <c r="HS18" s="113"/>
      <c r="HW18" s="113"/>
      <c r="HZ18" s="113"/>
      <c r="IF18" s="113"/>
      <c r="IX18" s="114"/>
      <c r="JM18" s="111"/>
      <c r="JN18" s="111"/>
      <c r="JO18" s="111"/>
      <c r="JQ18" s="111"/>
    </row>
    <row r="19" spans="1:277" ht="13.5" customHeight="1" x14ac:dyDescent="0.25">
      <c r="A19" s="245"/>
      <c r="B19" s="18"/>
      <c r="C19" s="17"/>
      <c r="D19" s="1"/>
      <c r="E19" s="1"/>
      <c r="F19" s="1"/>
      <c r="G19" s="1"/>
      <c r="H19" s="1"/>
      <c r="I19" s="1"/>
      <c r="J19" s="1"/>
      <c r="K19" s="1"/>
      <c r="L19" s="1"/>
      <c r="M19" s="2"/>
      <c r="N19" s="168"/>
      <c r="O19" s="169"/>
      <c r="P19" s="169"/>
      <c r="Q19" s="169"/>
      <c r="R19" s="169"/>
      <c r="S19" s="313"/>
      <c r="T19" s="296"/>
      <c r="U19" s="297"/>
      <c r="V19" s="297"/>
      <c r="W19" s="297"/>
      <c r="X19" s="303"/>
      <c r="Y19" s="170"/>
      <c r="Z19" s="108"/>
      <c r="AA19" s="144"/>
      <c r="AB19" s="458" t="str">
        <f>E3</f>
        <v xml:space="preserve">Leandro Bertaco Lúcio  CREA-SP:5069233488         </v>
      </c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2"/>
      <c r="BL19" s="357" t="s">
        <v>156</v>
      </c>
      <c r="BM19" s="357" t="str">
        <f>IF(W6="I",1,"")</f>
        <v/>
      </c>
      <c r="CB19" s="357" t="s">
        <v>110</v>
      </c>
      <c r="CC19" s="406"/>
      <c r="CD19" s="406"/>
      <c r="CE19" s="406"/>
      <c r="CF19" s="406"/>
      <c r="CG19" s="405">
        <f>IF(CB19=AE7,1,0)</f>
        <v>0</v>
      </c>
      <c r="CH19" s="405"/>
      <c r="CI19" s="405"/>
      <c r="CJ19" s="405"/>
      <c r="CM19" s="359">
        <f>IF(CG19=1,0.8,0)</f>
        <v>0</v>
      </c>
      <c r="CO19" s="378">
        <f>SUM(CM19:CM22)</f>
        <v>19.5</v>
      </c>
      <c r="CV19" s="414" t="s">
        <v>14</v>
      </c>
      <c r="CW19" s="414"/>
      <c r="CX19" s="414"/>
      <c r="CY19" s="414"/>
      <c r="CZ19" s="414"/>
      <c r="DA19" s="414"/>
      <c r="DB19" s="414"/>
      <c r="DC19" s="414"/>
      <c r="DD19" s="414"/>
      <c r="DE19" s="359" t="s">
        <v>18</v>
      </c>
      <c r="DF19" s="359" t="s">
        <v>18</v>
      </c>
      <c r="DG19" s="359" t="s">
        <v>20</v>
      </c>
      <c r="DH19" s="359" t="s">
        <v>21</v>
      </c>
      <c r="DI19" s="359" t="s">
        <v>24</v>
      </c>
      <c r="DJ19" s="359" t="s">
        <v>22</v>
      </c>
      <c r="DK19" s="359" t="s">
        <v>23</v>
      </c>
      <c r="DL19" s="359" t="s">
        <v>25</v>
      </c>
      <c r="DR19" s="407"/>
      <c r="ED19" s="362"/>
      <c r="EI19" s="362"/>
      <c r="EN19" s="362"/>
      <c r="EO19" s="358"/>
      <c r="EW19" s="360"/>
      <c r="FD19" s="377"/>
      <c r="FN19" s="355"/>
      <c r="GF19" s="111"/>
      <c r="HC19" s="111"/>
      <c r="HD19" s="111"/>
      <c r="HE19" s="111"/>
      <c r="HG19" s="113"/>
      <c r="HQ19" s="113"/>
      <c r="HS19" s="113"/>
      <c r="HW19" s="113"/>
      <c r="HZ19" s="113"/>
      <c r="IF19" s="113"/>
      <c r="IX19" s="114"/>
      <c r="JM19" s="111"/>
      <c r="JN19" s="111"/>
      <c r="JO19" s="111"/>
      <c r="JQ19" s="111"/>
    </row>
    <row r="20" spans="1:277" ht="13.5" customHeight="1" x14ac:dyDescent="0.25">
      <c r="A20" s="245"/>
      <c r="B20" s="18"/>
      <c r="C20" s="17"/>
      <c r="D20" s="1"/>
      <c r="E20" s="1"/>
      <c r="F20" s="1"/>
      <c r="G20" s="1"/>
      <c r="H20" s="1"/>
      <c r="I20" s="1"/>
      <c r="J20" s="1"/>
      <c r="K20" s="1"/>
      <c r="L20" s="1"/>
      <c r="M20" s="5"/>
      <c r="N20" s="559" t="str">
        <f>E3</f>
        <v xml:space="preserve">Leandro Bertaco Lúcio  CREA-SP:5069233488         </v>
      </c>
      <c r="O20" s="560"/>
      <c r="P20" s="560"/>
      <c r="Q20" s="560"/>
      <c r="R20" s="560"/>
      <c r="S20" s="560"/>
      <c r="T20" s="560"/>
      <c r="U20" s="560"/>
      <c r="V20" s="560"/>
      <c r="W20" s="560"/>
      <c r="X20" s="560"/>
      <c r="Y20" s="561"/>
      <c r="Z20" s="108"/>
      <c r="AA20" s="144"/>
      <c r="AB20" s="458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2"/>
      <c r="BL20" s="357" t="s">
        <v>157</v>
      </c>
      <c r="BM20" s="357">
        <f>IF(W6="II",2,"")</f>
        <v>2</v>
      </c>
      <c r="BO20" s="357" t="s">
        <v>160</v>
      </c>
      <c r="BX20" s="357">
        <f>IF(BM26&lt;=2,2.7,"")</f>
        <v>2.7</v>
      </c>
      <c r="BY20" s="357" t="str">
        <f>IF(BM26&gt;=3,3.6,"")</f>
        <v/>
      </c>
      <c r="BZ20" s="357">
        <f>SUM(BX20:BY20)</f>
        <v>2.7</v>
      </c>
      <c r="CB20" s="357" t="s">
        <v>111</v>
      </c>
      <c r="CC20" s="406"/>
      <c r="CD20" s="406"/>
      <c r="CE20" s="406"/>
      <c r="CF20" s="406"/>
      <c r="CG20" s="405">
        <f>IF(CB20=AE7,1,0)</f>
        <v>0</v>
      </c>
      <c r="CH20" s="405"/>
      <c r="CI20" s="405"/>
      <c r="CJ20" s="405"/>
      <c r="CK20" s="405"/>
      <c r="CL20" s="405"/>
      <c r="CM20" s="359">
        <f>IF(CG20=1,5,0)</f>
        <v>0</v>
      </c>
      <c r="CV20" s="357" t="s">
        <v>160</v>
      </c>
      <c r="CW20" s="357"/>
      <c r="CX20" s="357"/>
      <c r="CY20" s="357"/>
      <c r="CZ20" s="357"/>
      <c r="DA20" s="357"/>
      <c r="DB20" s="357"/>
      <c r="DC20" s="357"/>
      <c r="DD20" s="357"/>
      <c r="DE20" s="359">
        <f>BZ20</f>
        <v>2.7</v>
      </c>
      <c r="DF20" s="359">
        <f>IF(N6=CV20,DE20,0)</f>
        <v>0</v>
      </c>
      <c r="DG20" s="369">
        <f>IF(CX2=1,T12/DF29,0)</f>
        <v>80.645161290322577</v>
      </c>
      <c r="DH20" s="358">
        <v>4200</v>
      </c>
      <c r="DI20" s="366">
        <f>IF(CX2=1,((T8*T8)/4)*PI(),0)</f>
        <v>1256.6370614359173</v>
      </c>
      <c r="DJ20" s="379">
        <f>IF(CX2=1,1.4*(O10*1000)*(1+6/T8),0)</f>
        <v>28979.999999999996</v>
      </c>
      <c r="DK20" s="358">
        <f>IF(CX2=1,0.85*DI20*DG20,0)</f>
        <v>86140.443727462072</v>
      </c>
      <c r="DL20" s="366">
        <f>IF(CX2=1,(DJ20-DK20)/DH20,0)</f>
        <v>-13.609629458919541</v>
      </c>
      <c r="DR20" s="407"/>
      <c r="ED20" s="362"/>
      <c r="EI20" s="362"/>
      <c r="EN20" s="362"/>
      <c r="EO20" s="358"/>
      <c r="EW20" s="360"/>
      <c r="FD20" s="377"/>
      <c r="FN20" s="355"/>
      <c r="GF20" s="111"/>
      <c r="HC20" s="111"/>
      <c r="HD20" s="111"/>
      <c r="HE20" s="111"/>
      <c r="HG20" s="113"/>
      <c r="HQ20" s="113"/>
      <c r="HS20" s="113"/>
      <c r="HW20" s="113"/>
      <c r="HZ20" s="113"/>
      <c r="IF20" s="113"/>
      <c r="IX20" s="114"/>
      <c r="JM20" s="111"/>
      <c r="JN20" s="111"/>
      <c r="JO20" s="111"/>
      <c r="JQ20" s="111"/>
    </row>
    <row r="21" spans="1:277" ht="13.5" customHeight="1" x14ac:dyDescent="0.25">
      <c r="A21" s="245"/>
      <c r="B21" s="18"/>
      <c r="C21" s="17"/>
      <c r="D21" s="1"/>
      <c r="E21" s="1"/>
      <c r="F21" s="1"/>
      <c r="G21" s="1"/>
      <c r="H21" s="1"/>
      <c r="I21" s="1"/>
      <c r="J21" s="1"/>
      <c r="K21" s="1"/>
      <c r="L21" s="1"/>
      <c r="M21" s="2"/>
      <c r="N21" s="197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9"/>
      <c r="Z21" s="121"/>
      <c r="AA21" s="151"/>
      <c r="AB21" s="458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2"/>
      <c r="BL21" s="357" t="s">
        <v>158</v>
      </c>
      <c r="BM21" s="357" t="str">
        <f>IF(W6="III",3,"")</f>
        <v/>
      </c>
      <c r="BO21" s="357" t="s">
        <v>161</v>
      </c>
      <c r="BX21" s="357">
        <f>IF(BM26&lt;=2,3.1,"")</f>
        <v>3.1</v>
      </c>
      <c r="BY21" s="357" t="str">
        <f>IF(BM26&gt;=3,5,"")</f>
        <v/>
      </c>
      <c r="BZ21" s="357">
        <f t="shared" ref="BZ21:BZ28" si="6">SUM(BX21:BY21)</f>
        <v>3.1</v>
      </c>
      <c r="CB21" s="357" t="s">
        <v>112</v>
      </c>
      <c r="CC21" s="406"/>
      <c r="CD21" s="406"/>
      <c r="CE21" s="406"/>
      <c r="CF21" s="406"/>
      <c r="CG21" s="405">
        <f>IF(CB21=AE7,1,0)</f>
        <v>0</v>
      </c>
      <c r="CH21" s="405"/>
      <c r="CI21" s="405"/>
      <c r="CJ21" s="405"/>
      <c r="CK21" s="405"/>
      <c r="CM21" s="359">
        <f>IF(CG21=1,10,0)</f>
        <v>0</v>
      </c>
      <c r="CV21" s="357" t="s">
        <v>161</v>
      </c>
      <c r="CW21" s="357"/>
      <c r="CX21" s="357"/>
      <c r="CY21" s="357"/>
      <c r="CZ21" s="357"/>
      <c r="DA21" s="357"/>
      <c r="DB21" s="357"/>
      <c r="DC21" s="357"/>
      <c r="DD21" s="357"/>
      <c r="DE21" s="359">
        <f t="shared" ref="DE21:DE28" si="7">BZ21</f>
        <v>3.1</v>
      </c>
      <c r="DF21" s="359">
        <f>IF(N6=CV21,DE21,0)</f>
        <v>3.1</v>
      </c>
      <c r="DR21" s="407"/>
      <c r="ED21" s="362"/>
      <c r="EI21" s="362"/>
      <c r="EN21" s="362"/>
      <c r="EO21" s="358"/>
      <c r="EW21" s="360"/>
      <c r="FD21" s="377"/>
      <c r="FN21" s="355"/>
      <c r="GF21" s="111"/>
      <c r="HC21" s="111"/>
      <c r="HD21" s="111"/>
      <c r="HE21" s="111"/>
      <c r="HG21" s="113"/>
      <c r="HQ21" s="113"/>
      <c r="HS21" s="113"/>
      <c r="HW21" s="113"/>
      <c r="HZ21" s="113"/>
      <c r="IF21" s="113"/>
      <c r="IX21" s="114"/>
      <c r="JM21" s="111"/>
      <c r="JN21" s="111"/>
      <c r="JO21" s="111"/>
      <c r="JQ21" s="111"/>
    </row>
    <row r="22" spans="1:277" ht="13.5" customHeight="1" x14ac:dyDescent="0.25">
      <c r="A22" s="245"/>
      <c r="B22" s="18"/>
      <c r="C22" s="17"/>
      <c r="D22" s="1"/>
      <c r="E22" s="1"/>
      <c r="F22" s="1"/>
      <c r="G22" s="1"/>
      <c r="H22" s="1"/>
      <c r="I22" s="1"/>
      <c r="J22" s="1"/>
      <c r="K22" s="1"/>
      <c r="L22" s="1"/>
      <c r="M22" s="2"/>
      <c r="N22" s="200"/>
      <c r="O22" s="514" t="s">
        <v>153</v>
      </c>
      <c r="P22" s="515"/>
      <c r="Q22" s="515"/>
      <c r="R22" s="515"/>
      <c r="S22" s="515"/>
      <c r="T22" s="515"/>
      <c r="U22" s="515"/>
      <c r="V22" s="515"/>
      <c r="W22" s="186"/>
      <c r="X22" s="187"/>
      <c r="Y22" s="481"/>
      <c r="Z22" s="122"/>
      <c r="AA22" s="152"/>
      <c r="AB22" s="458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2"/>
      <c r="BL22" s="357" t="s">
        <v>159</v>
      </c>
      <c r="BM22" s="357" t="str">
        <f>IF(W6="IV",4,"")</f>
        <v/>
      </c>
      <c r="BO22" s="357" t="s">
        <v>162</v>
      </c>
      <c r="BX22" s="357">
        <f>IF(BM26&lt;=2,2.7,"")</f>
        <v>2.7</v>
      </c>
      <c r="BY22" s="357" t="str">
        <f>IF(BM26&gt;=3,3.6,"")</f>
        <v/>
      </c>
      <c r="BZ22" s="357">
        <f t="shared" si="6"/>
        <v>2.7</v>
      </c>
      <c r="CB22" s="357" t="s">
        <v>113</v>
      </c>
      <c r="CC22" s="406"/>
      <c r="CD22" s="406"/>
      <c r="CE22" s="406"/>
      <c r="CF22" s="406"/>
      <c r="CG22" s="405">
        <f>IF(CB22=AE7,1,0)</f>
        <v>1</v>
      </c>
      <c r="CH22" s="405"/>
      <c r="CI22" s="405"/>
      <c r="CJ22" s="405"/>
      <c r="CK22" s="405"/>
      <c r="CL22" s="405"/>
      <c r="CM22" s="359">
        <f>IF(CG22=1,19.5,0)</f>
        <v>19.5</v>
      </c>
      <c r="CV22" s="357" t="s">
        <v>162</v>
      </c>
      <c r="CW22" s="357"/>
      <c r="CX22" s="357"/>
      <c r="CY22" s="357"/>
      <c r="CZ22" s="357"/>
      <c r="DA22" s="357"/>
      <c r="DB22" s="357"/>
      <c r="DC22" s="357"/>
      <c r="DD22" s="357"/>
      <c r="DE22" s="359">
        <f t="shared" si="7"/>
        <v>2.7</v>
      </c>
      <c r="DF22" s="359">
        <f>IF(N6=CV22,DE22,0)</f>
        <v>0</v>
      </c>
      <c r="DL22" s="363">
        <f>IF(DL20&gt;0,DL20,0)</f>
        <v>0</v>
      </c>
      <c r="DR22" s="407"/>
      <c r="ED22" s="362"/>
      <c r="EI22" s="362"/>
      <c r="EN22" s="362"/>
      <c r="EO22" s="358"/>
      <c r="EW22" s="360"/>
      <c r="FD22" s="377"/>
      <c r="FN22" s="355"/>
      <c r="GF22" s="111"/>
      <c r="HC22" s="111"/>
      <c r="HD22" s="111"/>
      <c r="HE22" s="111"/>
      <c r="HG22" s="113"/>
      <c r="HQ22" s="113"/>
      <c r="HS22" s="113"/>
      <c r="HW22" s="113"/>
      <c r="HZ22" s="113"/>
      <c r="IF22" s="113"/>
      <c r="IX22" s="114"/>
      <c r="JM22" s="111"/>
      <c r="JN22" s="111"/>
      <c r="JO22" s="111"/>
      <c r="JQ22" s="111"/>
    </row>
    <row r="23" spans="1:277" ht="13.5" customHeight="1" x14ac:dyDescent="0.25">
      <c r="A23" s="245"/>
      <c r="B23" s="18"/>
      <c r="C23" s="17"/>
      <c r="D23" s="1"/>
      <c r="E23" s="1"/>
      <c r="F23" s="1"/>
      <c r="G23" s="1"/>
      <c r="H23" s="1"/>
      <c r="I23" s="1"/>
      <c r="J23" s="1"/>
      <c r="K23" s="1"/>
      <c r="L23" s="1"/>
      <c r="M23" s="2"/>
      <c r="N23" s="201"/>
      <c r="O23" s="188"/>
      <c r="P23" s="188"/>
      <c r="Q23" s="188"/>
      <c r="R23" s="188"/>
      <c r="S23" s="188"/>
      <c r="T23" s="188"/>
      <c r="U23" s="511"/>
      <c r="V23" s="512"/>
      <c r="W23" s="186"/>
      <c r="X23" s="187"/>
      <c r="Y23" s="482"/>
      <c r="Z23" s="123"/>
      <c r="AA23" s="153"/>
      <c r="AB23" s="458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2"/>
      <c r="BO23" s="357" t="s">
        <v>163</v>
      </c>
      <c r="BY23" s="357">
        <v>2.5</v>
      </c>
      <c r="BZ23" s="357">
        <f t="shared" si="6"/>
        <v>2.5</v>
      </c>
      <c r="CG23" s="378">
        <f>SUM(CG19:CG22)</f>
        <v>1</v>
      </c>
      <c r="CV23" s="357" t="s">
        <v>163</v>
      </c>
      <c r="CW23" s="357"/>
      <c r="CX23" s="357"/>
      <c r="CY23" s="357"/>
      <c r="CZ23" s="357"/>
      <c r="DA23" s="357"/>
      <c r="DB23" s="357"/>
      <c r="DC23" s="357"/>
      <c r="DD23" s="357"/>
      <c r="DE23" s="359">
        <f t="shared" si="7"/>
        <v>2.5</v>
      </c>
      <c r="DF23" s="359">
        <f>IF(N6=CV23,DE23,0)</f>
        <v>0</v>
      </c>
      <c r="DG23" s="359" t="s">
        <v>94</v>
      </c>
      <c r="DR23" s="407"/>
      <c r="ED23" s="362"/>
      <c r="EI23" s="362"/>
      <c r="EN23" s="362"/>
      <c r="EO23" s="358"/>
      <c r="EW23" s="360"/>
      <c r="FD23" s="377"/>
      <c r="FN23" s="355"/>
      <c r="GF23" s="111"/>
      <c r="HC23" s="111"/>
      <c r="HD23" s="111"/>
      <c r="HE23" s="111"/>
      <c r="HG23" s="113"/>
      <c r="HQ23" s="113"/>
      <c r="HS23" s="113"/>
      <c r="HW23" s="113"/>
      <c r="HZ23" s="113"/>
      <c r="IF23" s="113"/>
      <c r="IX23" s="114"/>
      <c r="JM23" s="111"/>
      <c r="JN23" s="111"/>
      <c r="JO23" s="111"/>
      <c r="JQ23" s="111"/>
    </row>
    <row r="24" spans="1:277" ht="13.5" customHeight="1" x14ac:dyDescent="0.25">
      <c r="A24" s="245"/>
      <c r="B24" s="18"/>
      <c r="C24" s="17"/>
      <c r="D24" s="1"/>
      <c r="E24" s="1"/>
      <c r="F24" s="1"/>
      <c r="G24" s="1"/>
      <c r="H24" s="1"/>
      <c r="I24" s="1"/>
      <c r="J24" s="1"/>
      <c r="K24" s="1"/>
      <c r="L24" s="1"/>
      <c r="M24" s="2"/>
      <c r="N24" s="202"/>
      <c r="O24" s="456" t="s">
        <v>28</v>
      </c>
      <c r="P24" s="457"/>
      <c r="Q24" s="457"/>
      <c r="R24" s="457"/>
      <c r="S24" s="495">
        <f>IF(CX2=1,DL22,0)</f>
        <v>0</v>
      </c>
      <c r="T24" s="496"/>
      <c r="U24" s="189" t="s">
        <v>29</v>
      </c>
      <c r="V24" s="185"/>
      <c r="W24" s="190"/>
      <c r="X24" s="187"/>
      <c r="Y24" s="482"/>
      <c r="Z24" s="123"/>
      <c r="AA24" s="153"/>
      <c r="AB24" s="458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2"/>
      <c r="BO24" s="357" t="s">
        <v>164</v>
      </c>
      <c r="BY24" s="357">
        <v>1.8</v>
      </c>
      <c r="BZ24" s="357">
        <f t="shared" si="6"/>
        <v>1.8</v>
      </c>
      <c r="CU24" s="357">
        <v>1</v>
      </c>
      <c r="CV24" s="357" t="s">
        <v>164</v>
      </c>
      <c r="CW24" s="357"/>
      <c r="CX24" s="357"/>
      <c r="CY24" s="357"/>
      <c r="CZ24" s="357"/>
      <c r="DA24" s="357"/>
      <c r="DB24" s="357"/>
      <c r="DC24" s="357"/>
      <c r="DD24" s="357"/>
      <c r="DE24" s="359">
        <f t="shared" si="7"/>
        <v>1.8</v>
      </c>
      <c r="DF24" s="359">
        <f>IF(N6=CV24,DE24,0)</f>
        <v>0</v>
      </c>
      <c r="DG24" s="359">
        <v>1.4</v>
      </c>
      <c r="DL24" s="359" t="s">
        <v>27</v>
      </c>
      <c r="DR24" s="407"/>
      <c r="ED24" s="362"/>
      <c r="EI24" s="362"/>
      <c r="EN24" s="362"/>
      <c r="EO24" s="358"/>
      <c r="EW24" s="360"/>
      <c r="FD24" s="377"/>
      <c r="FN24" s="355"/>
      <c r="GF24" s="111"/>
      <c r="HC24" s="111"/>
      <c r="HD24" s="111"/>
      <c r="HE24" s="111"/>
      <c r="HG24" s="113"/>
      <c r="HQ24" s="113"/>
      <c r="HS24" s="113"/>
      <c r="HW24" s="113"/>
      <c r="HZ24" s="113"/>
      <c r="IF24" s="113"/>
      <c r="IX24" s="114"/>
      <c r="JM24" s="111"/>
      <c r="JN24" s="111"/>
      <c r="JO24" s="111"/>
      <c r="JQ24" s="111"/>
    </row>
    <row r="25" spans="1:277" ht="13.5" customHeight="1" x14ac:dyDescent="0.25">
      <c r="A25" s="245"/>
      <c r="B25" s="18"/>
      <c r="C25" s="17"/>
      <c r="D25" s="1"/>
      <c r="E25" s="1"/>
      <c r="F25" s="1"/>
      <c r="G25" s="1"/>
      <c r="H25" s="1"/>
      <c r="I25" s="1"/>
      <c r="J25" s="1"/>
      <c r="K25" s="1"/>
      <c r="L25" s="1"/>
      <c r="M25" s="2"/>
      <c r="N25" s="203"/>
      <c r="O25" s="494" t="s">
        <v>43</v>
      </c>
      <c r="P25" s="494"/>
      <c r="Q25" s="494"/>
      <c r="R25" s="494"/>
      <c r="S25" s="562">
        <f>IF(O10&gt;0,DL25,0)</f>
        <v>5.026548245743669</v>
      </c>
      <c r="T25" s="562"/>
      <c r="U25" s="189" t="s">
        <v>29</v>
      </c>
      <c r="V25" s="189"/>
      <c r="W25" s="190"/>
      <c r="X25" s="187"/>
      <c r="Y25" s="482"/>
      <c r="Z25" s="123"/>
      <c r="AA25" s="153"/>
      <c r="AB25" s="458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2"/>
      <c r="BO25" s="357" t="s">
        <v>165</v>
      </c>
      <c r="BX25" s="357">
        <f>IF(BM26&lt;=2,2.2,"")</f>
        <v>2.2000000000000002</v>
      </c>
      <c r="BY25" s="357" t="str">
        <f>IF(BM26&gt;=3,3.6,"")</f>
        <v/>
      </c>
      <c r="BZ25" s="357">
        <f t="shared" si="6"/>
        <v>2.2000000000000002</v>
      </c>
      <c r="CU25" s="357">
        <v>2</v>
      </c>
      <c r="CV25" s="357" t="s">
        <v>165</v>
      </c>
      <c r="CW25" s="357"/>
      <c r="CX25" s="357"/>
      <c r="CY25" s="357"/>
      <c r="CZ25" s="357"/>
      <c r="DA25" s="357"/>
      <c r="DB25" s="357"/>
      <c r="DC25" s="357"/>
      <c r="DD25" s="357"/>
      <c r="DE25" s="359">
        <f t="shared" si="7"/>
        <v>2.2000000000000002</v>
      </c>
      <c r="DF25" s="359">
        <f>IF(N6=CV25,DE25,0)</f>
        <v>0</v>
      </c>
      <c r="DL25" s="363">
        <f>IF(CX2=1,DI20*0.004,0)</f>
        <v>5.026548245743669</v>
      </c>
      <c r="DR25" s="407"/>
      <c r="ED25" s="362"/>
      <c r="EI25" s="362"/>
      <c r="EN25" s="362"/>
      <c r="EO25" s="358"/>
      <c r="EW25" s="360"/>
      <c r="FD25" s="377"/>
      <c r="FN25" s="355"/>
      <c r="GF25" s="111"/>
      <c r="HC25" s="111"/>
      <c r="HD25" s="111"/>
      <c r="HE25" s="111"/>
      <c r="HG25" s="113"/>
      <c r="HQ25" s="113"/>
      <c r="HS25" s="113"/>
      <c r="HW25" s="113"/>
      <c r="HZ25" s="113"/>
      <c r="IF25" s="113"/>
      <c r="IX25" s="114"/>
      <c r="JM25" s="111"/>
      <c r="JN25" s="111"/>
      <c r="JO25" s="111"/>
      <c r="JQ25" s="111"/>
    </row>
    <row r="26" spans="1:277" ht="13.5" customHeight="1" x14ac:dyDescent="0.25">
      <c r="A26" s="245"/>
      <c r="B26" s="18"/>
      <c r="C26" s="17"/>
      <c r="D26" s="1"/>
      <c r="E26" s="1"/>
      <c r="F26" s="1"/>
      <c r="G26" s="1"/>
      <c r="H26" s="1"/>
      <c r="I26" s="1"/>
      <c r="J26" s="1"/>
      <c r="K26" s="1"/>
      <c r="L26" s="17"/>
      <c r="M26" s="4"/>
      <c r="N26" s="204"/>
      <c r="O26" s="191"/>
      <c r="P26" s="191"/>
      <c r="Q26" s="191"/>
      <c r="R26" s="191"/>
      <c r="S26" s="192"/>
      <c r="T26" s="192"/>
      <c r="U26" s="193"/>
      <c r="V26" s="189"/>
      <c r="W26" s="190"/>
      <c r="X26" s="187"/>
      <c r="Y26" s="482"/>
      <c r="Z26" s="123"/>
      <c r="AA26" s="153"/>
      <c r="AB26" s="458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2"/>
      <c r="BM26" s="357">
        <f>SUM(BM19:BM22)</f>
        <v>2</v>
      </c>
      <c r="BO26" s="357" t="s">
        <v>166</v>
      </c>
      <c r="BY26" s="357">
        <v>1.6</v>
      </c>
      <c r="BZ26" s="357">
        <f t="shared" si="6"/>
        <v>1.6</v>
      </c>
      <c r="CV26" s="357" t="s">
        <v>166</v>
      </c>
      <c r="CW26" s="357"/>
      <c r="CX26" s="357"/>
      <c r="CY26" s="357"/>
      <c r="CZ26" s="357"/>
      <c r="DA26" s="357"/>
      <c r="DB26" s="357"/>
      <c r="DC26" s="357"/>
      <c r="DD26" s="357"/>
      <c r="DE26" s="359">
        <f t="shared" si="7"/>
        <v>1.6</v>
      </c>
      <c r="DF26" s="359">
        <f>IF(N6=CV26,DE26,0)</f>
        <v>0</v>
      </c>
      <c r="DL26" s="363">
        <f>IF(DL25&gt;DL22,DL25,DL22)</f>
        <v>5.026548245743669</v>
      </c>
      <c r="DR26" s="407"/>
      <c r="ED26" s="362"/>
      <c r="EI26" s="362"/>
      <c r="EN26" s="362"/>
      <c r="EO26" s="358"/>
      <c r="EW26" s="360"/>
      <c r="FD26" s="377"/>
      <c r="FN26" s="355"/>
      <c r="GF26" s="111"/>
      <c r="HC26" s="111"/>
      <c r="HD26" s="111"/>
      <c r="HE26" s="111"/>
      <c r="HG26" s="113"/>
      <c r="HQ26" s="113"/>
      <c r="HS26" s="113"/>
      <c r="HW26" s="113"/>
      <c r="HZ26" s="113"/>
      <c r="IF26" s="113"/>
      <c r="IX26" s="114"/>
      <c r="JM26" s="111"/>
      <c r="JN26" s="111"/>
      <c r="JO26" s="111"/>
      <c r="JQ26" s="111"/>
    </row>
    <row r="27" spans="1:277" ht="13.5" customHeight="1" x14ac:dyDescent="0.25">
      <c r="A27" s="245"/>
      <c r="B27" s="18"/>
      <c r="C27" s="17"/>
      <c r="D27" s="1"/>
      <c r="E27" s="1"/>
      <c r="F27" s="1"/>
      <c r="G27" s="1"/>
      <c r="H27" s="1"/>
      <c r="I27" s="1"/>
      <c r="J27" s="1"/>
      <c r="K27" s="1"/>
      <c r="L27" s="1"/>
      <c r="M27" s="2"/>
      <c r="N27" s="202"/>
      <c r="O27" s="456" t="s">
        <v>36</v>
      </c>
      <c r="P27" s="457"/>
      <c r="Q27" s="457"/>
      <c r="R27" s="457"/>
      <c r="S27" s="495">
        <f>IF(CX2=1,DL33,0)</f>
        <v>3.9040623383474222</v>
      </c>
      <c r="T27" s="496"/>
      <c r="U27" s="189" t="s">
        <v>29</v>
      </c>
      <c r="V27" s="189"/>
      <c r="W27" s="194"/>
      <c r="X27" s="187"/>
      <c r="Y27" s="482"/>
      <c r="Z27" s="123"/>
      <c r="AA27" s="153"/>
      <c r="AB27" s="458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2"/>
      <c r="BO27" s="357" t="s">
        <v>167</v>
      </c>
      <c r="BY27" s="357">
        <v>1.8</v>
      </c>
      <c r="BZ27" s="357">
        <f t="shared" si="6"/>
        <v>1.8</v>
      </c>
      <c r="CB27" s="443" t="s">
        <v>107</v>
      </c>
      <c r="CC27" s="444"/>
      <c r="CD27" s="444"/>
      <c r="CE27" s="444"/>
      <c r="CF27" s="444"/>
      <c r="CG27" s="405">
        <f>IF(CB27=AE9,3,0)</f>
        <v>3</v>
      </c>
      <c r="CL27" s="380" t="s">
        <v>119</v>
      </c>
      <c r="CV27" s="357" t="s">
        <v>167</v>
      </c>
      <c r="CW27" s="357"/>
      <c r="CX27" s="357"/>
      <c r="CY27" s="357"/>
      <c r="CZ27" s="357"/>
      <c r="DA27" s="357"/>
      <c r="DB27" s="357"/>
      <c r="DC27" s="357"/>
      <c r="DD27" s="357"/>
      <c r="DE27" s="359">
        <f t="shared" si="7"/>
        <v>1.8</v>
      </c>
      <c r="DF27" s="359">
        <f>IF(N6=CV27,DE27,0)</f>
        <v>0</v>
      </c>
      <c r="DL27" s="366">
        <f>IF(CX2=1,DL26,0)</f>
        <v>5.026548245743669</v>
      </c>
      <c r="DR27" s="407"/>
      <c r="ED27" s="362"/>
      <c r="EI27" s="362"/>
      <c r="EN27" s="362"/>
      <c r="EO27" s="358"/>
      <c r="EW27" s="360"/>
      <c r="FD27" s="377"/>
      <c r="FN27" s="355"/>
      <c r="GF27" s="111"/>
      <c r="HC27" s="111"/>
      <c r="HD27" s="111"/>
      <c r="HE27" s="111"/>
      <c r="HG27" s="113"/>
      <c r="HQ27" s="113"/>
      <c r="HS27" s="113"/>
      <c r="HW27" s="113"/>
      <c r="HZ27" s="113"/>
      <c r="IF27" s="113"/>
      <c r="IX27" s="114"/>
      <c r="JM27" s="111"/>
      <c r="JN27" s="111"/>
      <c r="JO27" s="111"/>
      <c r="JQ27" s="111"/>
    </row>
    <row r="28" spans="1:277" ht="13.5" customHeight="1" x14ac:dyDescent="0.25">
      <c r="A28" s="245"/>
      <c r="B28" s="18"/>
      <c r="C28" s="17"/>
      <c r="D28" s="1"/>
      <c r="E28" s="1"/>
      <c r="F28" s="1"/>
      <c r="G28" s="1"/>
      <c r="H28" s="1"/>
      <c r="I28" s="1"/>
      <c r="J28" s="1"/>
      <c r="K28" s="1"/>
      <c r="L28" s="3"/>
      <c r="M28" s="7"/>
      <c r="N28" s="205"/>
      <c r="O28" s="494" t="s">
        <v>47</v>
      </c>
      <c r="P28" s="494"/>
      <c r="Q28" s="494"/>
      <c r="R28" s="494"/>
      <c r="S28" s="562">
        <f>IF(O14&gt;0,DL35,0)</f>
        <v>2.1666666666666665</v>
      </c>
      <c r="T28" s="562"/>
      <c r="U28" s="189" t="s">
        <v>29</v>
      </c>
      <c r="V28" s="189"/>
      <c r="W28" s="194"/>
      <c r="X28" s="187"/>
      <c r="Y28" s="482"/>
      <c r="Z28" s="123"/>
      <c r="AA28" s="153"/>
      <c r="AB28" s="458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2"/>
      <c r="BO28" s="357" t="s">
        <v>168</v>
      </c>
      <c r="BY28" s="357">
        <v>1.8</v>
      </c>
      <c r="BZ28" s="357">
        <f t="shared" si="6"/>
        <v>1.8</v>
      </c>
      <c r="CB28" s="443" t="s">
        <v>106</v>
      </c>
      <c r="CC28" s="444"/>
      <c r="CD28" s="444"/>
      <c r="CE28" s="444"/>
      <c r="CF28" s="444"/>
      <c r="CG28" s="405">
        <f>IF(CB28=AE9,5,0)</f>
        <v>0</v>
      </c>
      <c r="CL28" s="357">
        <f>IF(T8&gt;0,(((T8*T8*T8*T8)/100000000)*PI())/64,0)</f>
        <v>1.2566370614359172E-3</v>
      </c>
      <c r="CV28" s="357" t="s">
        <v>168</v>
      </c>
      <c r="CW28" s="357"/>
      <c r="CX28" s="357"/>
      <c r="CY28" s="357"/>
      <c r="CZ28" s="357"/>
      <c r="DA28" s="357"/>
      <c r="DB28" s="357"/>
      <c r="DC28" s="357"/>
      <c r="DD28" s="357"/>
      <c r="DE28" s="359">
        <f t="shared" si="7"/>
        <v>1.8</v>
      </c>
      <c r="DF28" s="359">
        <f>IF(N6=CV28,DE28,0)</f>
        <v>0</v>
      </c>
      <c r="DR28" s="407"/>
      <c r="ED28" s="362"/>
      <c r="EI28" s="362"/>
      <c r="EN28" s="362"/>
      <c r="EO28" s="358"/>
      <c r="EW28" s="360"/>
      <c r="FD28" s="377"/>
      <c r="FN28" s="355"/>
      <c r="GF28" s="111"/>
      <c r="HC28" s="111"/>
      <c r="HD28" s="111"/>
      <c r="HE28" s="111"/>
      <c r="HG28" s="113"/>
      <c r="HQ28" s="113"/>
      <c r="HS28" s="113"/>
      <c r="HW28" s="113"/>
      <c r="HZ28" s="113"/>
      <c r="IF28" s="113"/>
      <c r="IX28" s="114"/>
      <c r="JM28" s="111"/>
      <c r="JN28" s="111"/>
      <c r="JO28" s="111"/>
      <c r="JQ28" s="111"/>
    </row>
    <row r="29" spans="1:277" ht="13.5" customHeight="1" x14ac:dyDescent="0.25">
      <c r="A29" s="245"/>
      <c r="B29" s="18"/>
      <c r="C29" s="17"/>
      <c r="D29" s="1"/>
      <c r="E29" s="1"/>
      <c r="F29" s="1"/>
      <c r="G29" s="1"/>
      <c r="H29" s="1"/>
      <c r="I29" s="1"/>
      <c r="J29" s="1"/>
      <c r="K29" s="1"/>
      <c r="L29" s="3"/>
      <c r="M29" s="3"/>
      <c r="N29" s="206"/>
      <c r="O29" s="191"/>
      <c r="P29" s="191"/>
      <c r="Q29" s="191"/>
      <c r="R29" s="191"/>
      <c r="S29" s="192"/>
      <c r="T29" s="192"/>
      <c r="U29" s="544"/>
      <c r="V29" s="545"/>
      <c r="W29" s="194"/>
      <c r="X29" s="187"/>
      <c r="Y29" s="482"/>
      <c r="Z29" s="123"/>
      <c r="AA29" s="153"/>
      <c r="AB29" s="458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2"/>
      <c r="DF29" s="358">
        <f>SUM(DF20:DF28)</f>
        <v>3.1</v>
      </c>
      <c r="DR29" s="407"/>
      <c r="ED29" s="362"/>
      <c r="EI29" s="362"/>
      <c r="EN29" s="362"/>
      <c r="EO29" s="358"/>
      <c r="EW29" s="360"/>
      <c r="FD29" s="377"/>
      <c r="FN29" s="355"/>
      <c r="GF29" s="111"/>
      <c r="HC29" s="111"/>
      <c r="HD29" s="111"/>
      <c r="HE29" s="111"/>
      <c r="HG29" s="113"/>
      <c r="HQ29" s="113"/>
      <c r="HS29" s="113"/>
      <c r="HW29" s="113"/>
      <c r="HZ29" s="113"/>
      <c r="IF29" s="113"/>
      <c r="IX29" s="114"/>
      <c r="JM29" s="111"/>
      <c r="JN29" s="111"/>
      <c r="JO29" s="111"/>
      <c r="JQ29" s="111"/>
    </row>
    <row r="30" spans="1:277" ht="13.5" customHeight="1" x14ac:dyDescent="0.25">
      <c r="A30" s="245"/>
      <c r="B30" s="18"/>
      <c r="C30" s="17"/>
      <c r="D30" s="1"/>
      <c r="E30" s="1"/>
      <c r="F30" s="1"/>
      <c r="G30" s="1"/>
      <c r="H30" s="1"/>
      <c r="I30" s="1"/>
      <c r="J30" s="1"/>
      <c r="K30" s="1"/>
      <c r="L30" s="3"/>
      <c r="M30" s="3"/>
      <c r="N30" s="202"/>
      <c r="O30" s="456" t="s">
        <v>42</v>
      </c>
      <c r="P30" s="457"/>
      <c r="Q30" s="457"/>
      <c r="R30" s="457"/>
      <c r="S30" s="495">
        <f>IF(CX2=1,DK47,0)</f>
        <v>7.6358154774751794</v>
      </c>
      <c r="T30" s="496"/>
      <c r="U30" s="189" t="s">
        <v>29</v>
      </c>
      <c r="V30" s="189"/>
      <c r="W30" s="194"/>
      <c r="X30" s="581"/>
      <c r="Y30" s="482"/>
      <c r="Z30" s="123"/>
      <c r="AA30" s="153"/>
      <c r="AB30" s="458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2"/>
      <c r="CO30" s="414" t="s">
        <v>121</v>
      </c>
      <c r="CP30" s="445"/>
      <c r="CQ30" s="445"/>
      <c r="CR30" s="445"/>
      <c r="CV30" s="448" t="s">
        <v>46</v>
      </c>
      <c r="CW30" s="448"/>
      <c r="CX30" s="448"/>
      <c r="CY30" s="448"/>
      <c r="CZ30" s="448"/>
      <c r="DA30" s="448"/>
      <c r="DG30" s="448" t="s">
        <v>33</v>
      </c>
      <c r="DH30" s="448"/>
      <c r="DI30" s="448"/>
      <c r="DJ30" s="448"/>
      <c r="DK30" s="448"/>
      <c r="DL30" s="448"/>
      <c r="DR30" s="407"/>
      <c r="ED30" s="362"/>
      <c r="EI30" s="362"/>
      <c r="EN30" s="362"/>
      <c r="EO30" s="358"/>
      <c r="EW30" s="360"/>
      <c r="FD30" s="377"/>
      <c r="FN30" s="355"/>
      <c r="GF30" s="111"/>
      <c r="HC30" s="111"/>
      <c r="HD30" s="111"/>
      <c r="HE30" s="111"/>
      <c r="HG30" s="113"/>
      <c r="HQ30" s="113"/>
      <c r="HS30" s="113"/>
      <c r="HW30" s="113"/>
      <c r="HZ30" s="113"/>
      <c r="IF30" s="113"/>
      <c r="IX30" s="114"/>
      <c r="JM30" s="111"/>
      <c r="JN30" s="111"/>
      <c r="JO30" s="111"/>
      <c r="JQ30" s="111"/>
    </row>
    <row r="31" spans="1:277" ht="13.5" customHeight="1" x14ac:dyDescent="0.25">
      <c r="A31" s="245"/>
      <c r="B31" s="18"/>
      <c r="C31" s="17"/>
      <c r="D31" s="1"/>
      <c r="E31" s="1"/>
      <c r="F31" s="1"/>
      <c r="G31" s="1"/>
      <c r="H31" s="1"/>
      <c r="I31" s="1"/>
      <c r="J31" s="1"/>
      <c r="K31" s="1"/>
      <c r="L31" s="7"/>
      <c r="M31" s="7"/>
      <c r="N31" s="205"/>
      <c r="O31" s="494" t="s">
        <v>44</v>
      </c>
      <c r="P31" s="494"/>
      <c r="Q31" s="494"/>
      <c r="R31" s="494"/>
      <c r="S31" s="562">
        <f>IF(O16&gt;0,DK48,0)</f>
        <v>1.8849555921538761</v>
      </c>
      <c r="T31" s="562"/>
      <c r="U31" s="189" t="s">
        <v>29</v>
      </c>
      <c r="V31" s="189"/>
      <c r="W31" s="194"/>
      <c r="X31" s="582"/>
      <c r="Y31" s="482"/>
      <c r="Z31" s="123"/>
      <c r="AA31" s="153"/>
      <c r="AB31" s="458"/>
      <c r="AC31" s="154" t="s">
        <v>1</v>
      </c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2"/>
      <c r="AY31" s="131"/>
      <c r="CL31" s="357">
        <f>IF(CO15&gt;0,(AE11*CL28)/CO15,0)</f>
        <v>0</v>
      </c>
      <c r="CO31" s="357">
        <f>IF(O16&gt;0,O16/1000,0)</f>
        <v>2.5</v>
      </c>
      <c r="CV31" s="363">
        <f>IF(O10&gt;0,DL27,0)</f>
        <v>5.026548245743669</v>
      </c>
      <c r="CZ31" s="359" t="s">
        <v>50</v>
      </c>
      <c r="DB31" s="359" t="s">
        <v>53</v>
      </c>
      <c r="DC31" s="359" t="s">
        <v>54</v>
      </c>
      <c r="DD31" s="359" t="s">
        <v>27</v>
      </c>
      <c r="DG31" s="359" t="s">
        <v>30</v>
      </c>
      <c r="DH31" s="359" t="s">
        <v>31</v>
      </c>
      <c r="DI31" s="359" t="s">
        <v>32</v>
      </c>
      <c r="DJ31" s="359" t="s">
        <v>34</v>
      </c>
      <c r="DK31" s="359" t="s">
        <v>35</v>
      </c>
      <c r="DL31" s="359" t="s">
        <v>25</v>
      </c>
      <c r="DR31" s="407"/>
      <c r="ED31" s="362"/>
      <c r="EI31" s="362"/>
      <c r="EN31" s="362"/>
      <c r="EO31" s="358"/>
      <c r="EW31" s="360"/>
      <c r="FD31" s="377"/>
      <c r="FN31" s="355"/>
      <c r="GF31" s="111"/>
      <c r="HC31" s="111"/>
      <c r="HD31" s="111"/>
      <c r="HE31" s="111"/>
      <c r="HG31" s="113"/>
      <c r="HQ31" s="113"/>
      <c r="HS31" s="113"/>
      <c r="HW31" s="113"/>
      <c r="HZ31" s="113"/>
      <c r="IF31" s="113"/>
      <c r="IX31" s="114"/>
      <c r="JM31" s="111"/>
      <c r="JN31" s="111"/>
      <c r="JO31" s="111"/>
      <c r="JQ31" s="111"/>
    </row>
    <row r="32" spans="1:277" ht="13.5" customHeight="1" x14ac:dyDescent="0.25">
      <c r="A32" s="245"/>
      <c r="B32" s="18"/>
      <c r="C32" s="17"/>
      <c r="D32" s="1"/>
      <c r="E32" s="1"/>
      <c r="F32" s="1"/>
      <c r="G32" s="1"/>
      <c r="H32" s="1"/>
      <c r="I32" s="1"/>
      <c r="J32" s="1"/>
      <c r="K32" s="1"/>
      <c r="L32" s="6"/>
      <c r="M32" s="6"/>
      <c r="N32" s="200"/>
      <c r="O32" s="191"/>
      <c r="P32" s="191"/>
      <c r="Q32" s="191"/>
      <c r="R32" s="191"/>
      <c r="S32" s="192"/>
      <c r="T32" s="192"/>
      <c r="U32" s="544"/>
      <c r="V32" s="545"/>
      <c r="W32" s="194"/>
      <c r="X32" s="582"/>
      <c r="Y32" s="482"/>
      <c r="Z32" s="123"/>
      <c r="AA32" s="153"/>
      <c r="AB32" s="458"/>
      <c r="AC32" s="529">
        <f>IF(T10&gt;0,T10,"")</f>
        <v>8</v>
      </c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2"/>
      <c r="AY32" s="595"/>
      <c r="CK32" s="358" t="s">
        <v>116</v>
      </c>
      <c r="CL32" s="373">
        <f>POWER(CL31,1/5)</f>
        <v>0</v>
      </c>
      <c r="CO32" s="357">
        <f>IF(O18&gt;0,O18,0)</f>
        <v>3</v>
      </c>
      <c r="CV32" s="363">
        <f>DL36</f>
        <v>3.9040623383474222</v>
      </c>
      <c r="CW32" s="359">
        <f>IF(CV32&gt;CV31,CV32,CV31)</f>
        <v>5.026548245743669</v>
      </c>
      <c r="CZ32" s="359">
        <f>CX35/3*2</f>
        <v>4</v>
      </c>
      <c r="DB32" s="359">
        <f>IF(CX2=1,CZ38*SQRT(T14),0)</f>
        <v>0.29886310048587672</v>
      </c>
      <c r="DC32" s="359">
        <f>IF(CX2=1,(100/DC7)*(0.707106781*T8)*DB38,0)</f>
        <v>2.0532151839024597</v>
      </c>
      <c r="DD32" s="359">
        <f>IF(CX2=1,0.14*0.707106781*T8,0)</f>
        <v>3.9597979736000006</v>
      </c>
      <c r="DG32" s="359">
        <f>IF(CX2=1,T12,0)</f>
        <v>250</v>
      </c>
      <c r="DH32" s="358">
        <v>1.5</v>
      </c>
      <c r="DI32" s="358">
        <v>1</v>
      </c>
      <c r="DJ32" s="358">
        <v>2100000</v>
      </c>
      <c r="DK32" s="359">
        <f>IF(CX2=1,((((2*DH32)-0.75)*DJ32*DG36)*DI32)/3,0)</f>
        <v>34650000</v>
      </c>
      <c r="DL32" s="381">
        <f>IF(CX2=1,O14/DK34,0)</f>
        <v>3.9040623383474224E-3</v>
      </c>
      <c r="DR32" s="407"/>
      <c r="ED32" s="362"/>
      <c r="EI32" s="362"/>
      <c r="EN32" s="362"/>
      <c r="EO32" s="358"/>
      <c r="EW32" s="360"/>
      <c r="FD32" s="377"/>
      <c r="FN32" s="355"/>
      <c r="GF32" s="111"/>
      <c r="HC32" s="111"/>
      <c r="HD32" s="111"/>
      <c r="HE32" s="111"/>
      <c r="HG32" s="113"/>
      <c r="HQ32" s="113"/>
      <c r="HS32" s="113"/>
      <c r="HW32" s="113"/>
      <c r="HZ32" s="113"/>
      <c r="IF32" s="113"/>
      <c r="IX32" s="114"/>
      <c r="JM32" s="111"/>
      <c r="JN32" s="111"/>
      <c r="JO32" s="111"/>
      <c r="JQ32" s="111"/>
    </row>
    <row r="33" spans="1:277" ht="13.5" customHeight="1" x14ac:dyDescent="0.25">
      <c r="A33" s="245"/>
      <c r="B33" s="18"/>
      <c r="C33" s="17"/>
      <c r="D33" s="1"/>
      <c r="E33" s="1"/>
      <c r="F33" s="1"/>
      <c r="G33" s="1"/>
      <c r="H33" s="1"/>
      <c r="I33" s="1"/>
      <c r="J33" s="1"/>
      <c r="K33" s="1"/>
      <c r="L33" s="8"/>
      <c r="M33" s="8"/>
      <c r="N33" s="202"/>
      <c r="O33" s="456" t="s">
        <v>62</v>
      </c>
      <c r="P33" s="457"/>
      <c r="Q33" s="457"/>
      <c r="R33" s="457"/>
      <c r="S33" s="495">
        <f>IF(DC32&gt;0,DC32,0)</f>
        <v>2.0532151839024597</v>
      </c>
      <c r="T33" s="496"/>
      <c r="U33" s="189" t="s">
        <v>29</v>
      </c>
      <c r="V33" s="189"/>
      <c r="W33" s="194"/>
      <c r="X33" s="582"/>
      <c r="Y33" s="482"/>
      <c r="Z33" s="123"/>
      <c r="AA33" s="153"/>
      <c r="AB33" s="458"/>
      <c r="AC33" s="530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2"/>
      <c r="AY33" s="596"/>
      <c r="CE33" s="593" t="s">
        <v>120</v>
      </c>
      <c r="CF33" s="594"/>
      <c r="CG33" s="594"/>
      <c r="CH33" s="594"/>
      <c r="CI33" s="594"/>
      <c r="CJ33" s="594"/>
      <c r="CK33" s="358" t="s">
        <v>118</v>
      </c>
      <c r="CL33" s="373">
        <f>IF(CL32&gt;0,CL32*4,0)</f>
        <v>0</v>
      </c>
      <c r="CO33" s="357">
        <f>SUM(CO31:CO32)</f>
        <v>5.5</v>
      </c>
      <c r="CV33" s="363">
        <f>IF(O16&gt;0,DK49,0)</f>
        <v>7.6358154774751794</v>
      </c>
      <c r="CW33" s="359">
        <f>IF(CV33&gt;CV32,CV33,CV32)</f>
        <v>7.6358154774751794</v>
      </c>
      <c r="CX33" s="359">
        <f>IF(CW33&gt;CW32,CW33,CW32)</f>
        <v>7.6358154774751794</v>
      </c>
      <c r="CZ33" s="359">
        <f>ROUND(CZ32,0)</f>
        <v>4</v>
      </c>
      <c r="DD33" s="358">
        <f>IF(DC32&gt;DD32,DC32,DD32)</f>
        <v>3.9597979736000006</v>
      </c>
      <c r="DG33" s="359">
        <f>IF(DG32&lt;=180,DG32/10,0)</f>
        <v>0</v>
      </c>
      <c r="DK33" s="359">
        <f>IF(CX2=1,SQRT(DK32),0)</f>
        <v>5886.4250611045754</v>
      </c>
      <c r="DL33" s="363">
        <f>IF(CX2=1,DL32*1000,0)</f>
        <v>3.9040623383474222</v>
      </c>
      <c r="DR33" s="407"/>
      <c r="ED33" s="362"/>
      <c r="EI33" s="362"/>
      <c r="EN33" s="362"/>
      <c r="EO33" s="358"/>
      <c r="EW33" s="360"/>
      <c r="FD33" s="377"/>
      <c r="FN33" s="355"/>
      <c r="GF33" s="111"/>
      <c r="HC33" s="111"/>
      <c r="HD33" s="111"/>
      <c r="HE33" s="111"/>
      <c r="HG33" s="113"/>
      <c r="HQ33" s="113"/>
      <c r="HS33" s="113"/>
      <c r="HW33" s="113"/>
      <c r="HZ33" s="113"/>
      <c r="IF33" s="113"/>
      <c r="IX33" s="114"/>
      <c r="JM33" s="111"/>
      <c r="JN33" s="111"/>
      <c r="JO33" s="111"/>
      <c r="JQ33" s="111"/>
    </row>
    <row r="34" spans="1:277" ht="13.5" customHeight="1" x14ac:dyDescent="0.25">
      <c r="A34" s="245"/>
      <c r="B34" s="18"/>
      <c r="C34" s="17"/>
      <c r="D34" s="1"/>
      <c r="E34" s="1"/>
      <c r="F34" s="1"/>
      <c r="G34" s="1"/>
      <c r="H34" s="1"/>
      <c r="I34" s="1"/>
      <c r="J34" s="1"/>
      <c r="K34" s="1"/>
      <c r="L34" s="8"/>
      <c r="M34" s="8"/>
      <c r="N34" s="202"/>
      <c r="O34" s="494" t="s">
        <v>59</v>
      </c>
      <c r="P34" s="494"/>
      <c r="Q34" s="494"/>
      <c r="R34" s="494"/>
      <c r="S34" s="562">
        <f>IF(CX2=1,DD32,0)</f>
        <v>3.9597979736000006</v>
      </c>
      <c r="T34" s="562"/>
      <c r="U34" s="189" t="s">
        <v>29</v>
      </c>
      <c r="V34" s="189"/>
      <c r="W34" s="194"/>
      <c r="X34" s="582"/>
      <c r="Y34" s="482"/>
      <c r="Z34" s="123"/>
      <c r="AA34" s="153"/>
      <c r="AB34" s="458"/>
      <c r="AC34" s="527" t="s">
        <v>143</v>
      </c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2"/>
      <c r="AY34" s="597"/>
      <c r="CX34" s="359">
        <f>IF(CX2=1,CX33/DA18,0)</f>
        <v>6.2222222222222117</v>
      </c>
      <c r="CZ34" s="359">
        <f>IF(CX2=1,((CZ33*DA18)/DI20),0)</f>
        <v>3.90625E-3</v>
      </c>
      <c r="DB34" s="359" t="s">
        <v>51</v>
      </c>
      <c r="DC34" s="359" t="s">
        <v>57</v>
      </c>
      <c r="DG34" s="359">
        <f>IF(DG32&gt;180,(0.06*(DG32))+7,0)</f>
        <v>22</v>
      </c>
      <c r="DK34" s="359">
        <f>IF(CX2=1,DK33/SQRT(T14),0)</f>
        <v>1664.9324310613929</v>
      </c>
      <c r="DR34" s="407"/>
      <c r="ED34" s="362"/>
      <c r="EI34" s="362"/>
      <c r="EN34" s="362"/>
      <c r="EO34" s="358"/>
      <c r="EW34" s="360"/>
      <c r="FD34" s="377"/>
      <c r="FN34" s="355"/>
      <c r="GF34" s="111"/>
      <c r="HC34" s="111"/>
      <c r="HD34" s="111"/>
      <c r="HE34" s="111"/>
      <c r="HG34" s="113"/>
      <c r="HQ34" s="113"/>
      <c r="HS34" s="113"/>
      <c r="HW34" s="113"/>
      <c r="HZ34" s="113"/>
      <c r="IF34" s="113"/>
      <c r="IX34" s="114"/>
      <c r="JM34" s="111"/>
      <c r="JN34" s="111"/>
      <c r="JO34" s="111"/>
      <c r="JQ34" s="111"/>
    </row>
    <row r="35" spans="1:277" ht="13.5" customHeight="1" x14ac:dyDescent="0.25">
      <c r="A35" s="245"/>
      <c r="B35" s="18"/>
      <c r="C35" s="17"/>
      <c r="D35" s="1"/>
      <c r="E35" s="1"/>
      <c r="F35" s="1"/>
      <c r="G35" s="1"/>
      <c r="H35" s="1"/>
      <c r="I35" s="1"/>
      <c r="J35" s="1"/>
      <c r="K35" s="1"/>
      <c r="L35" s="8"/>
      <c r="M35" s="8"/>
      <c r="N35" s="202"/>
      <c r="O35" s="191"/>
      <c r="P35" s="191"/>
      <c r="Q35" s="191"/>
      <c r="R35" s="191"/>
      <c r="S35" s="192"/>
      <c r="T35" s="192"/>
      <c r="U35" s="544"/>
      <c r="V35" s="545"/>
      <c r="W35" s="194"/>
      <c r="X35" s="582"/>
      <c r="Y35" s="482"/>
      <c r="Z35" s="123"/>
      <c r="AA35" s="153"/>
      <c r="AB35" s="458"/>
      <c r="AC35" s="528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2"/>
      <c r="AY35" s="598"/>
      <c r="CH35" s="592" t="s">
        <v>133</v>
      </c>
      <c r="CI35" s="568"/>
      <c r="CJ35" s="568"/>
      <c r="CK35" s="568"/>
      <c r="CL35" s="357">
        <f>IF(CO15&gt;0,2.4*(((CL32*CL32*CL32)*CO33*0.001)/(AE11*CL28)),0)</f>
        <v>0</v>
      </c>
      <c r="CM35" s="373">
        <f>IF(CO15&gt;0,CL35*100,0)</f>
        <v>0</v>
      </c>
      <c r="CN35" s="357" t="s">
        <v>5</v>
      </c>
      <c r="CQ35" s="357" t="s">
        <v>149</v>
      </c>
      <c r="CS35" s="359">
        <f>IF(CO15&gt;0,-0.3*(((CL32*CL32*CL32)*CO33*0.001)/(AE11*CL28)),0)</f>
        <v>0</v>
      </c>
      <c r="CX35" s="359">
        <f>ROUND(CX34,0)</f>
        <v>6</v>
      </c>
      <c r="CZ35" s="359">
        <f>IF(CZ34&lt;=0.001,0.07,0)</f>
        <v>0</v>
      </c>
      <c r="DB35" s="359">
        <f>POWER(T8*0.707106781,2)</f>
        <v>799.99999957789123</v>
      </c>
      <c r="DC35" s="359">
        <f>IF(CX2=1,DD33/DB18,0)</f>
        <v>12.702875709623799</v>
      </c>
      <c r="DL35" s="363">
        <f>IF(CX2=1,(1.4*O14*1000)/DH20,0)</f>
        <v>2.1666666666666665</v>
      </c>
      <c r="DR35" s="407"/>
      <c r="ED35" s="362"/>
      <c r="EI35" s="362"/>
      <c r="EN35" s="362"/>
      <c r="EO35" s="358"/>
      <c r="EW35" s="360"/>
      <c r="FD35" s="377"/>
      <c r="FN35" s="355"/>
      <c r="GF35" s="111"/>
      <c r="HC35" s="111"/>
      <c r="HD35" s="111"/>
      <c r="HE35" s="111"/>
      <c r="HG35" s="113"/>
      <c r="HQ35" s="113"/>
      <c r="HS35" s="113"/>
      <c r="HW35" s="113"/>
      <c r="HZ35" s="113"/>
      <c r="IF35" s="113"/>
      <c r="IX35" s="114"/>
      <c r="JM35" s="111"/>
      <c r="JN35" s="111"/>
      <c r="JO35" s="111"/>
      <c r="JQ35" s="111"/>
    </row>
    <row r="36" spans="1:277" ht="13.5" customHeight="1" x14ac:dyDescent="0.25">
      <c r="A36" s="245"/>
      <c r="B36" s="18"/>
      <c r="C36" s="17"/>
      <c r="D36" s="1"/>
      <c r="E36" s="1"/>
      <c r="F36" s="1"/>
      <c r="G36" s="1"/>
      <c r="H36" s="1"/>
      <c r="I36" s="1"/>
      <c r="J36" s="1"/>
      <c r="K36" s="1"/>
      <c r="L36" s="8"/>
      <c r="M36" s="8"/>
      <c r="N36" s="202"/>
      <c r="O36" s="456" t="s">
        <v>63</v>
      </c>
      <c r="P36" s="457"/>
      <c r="Q36" s="457"/>
      <c r="R36" s="457"/>
      <c r="S36" s="495">
        <f>IF(T10*T8&gt;0,DI20*T10/10000,0)</f>
        <v>1.0053096491487339</v>
      </c>
      <c r="T36" s="496"/>
      <c r="U36" s="189" t="s">
        <v>64</v>
      </c>
      <c r="V36" s="189"/>
      <c r="W36" s="190"/>
      <c r="X36" s="582"/>
      <c r="Y36" s="482"/>
      <c r="Z36" s="123"/>
      <c r="AA36" s="153"/>
      <c r="AB36" s="458"/>
      <c r="AC36" s="528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2"/>
      <c r="AY36" s="598"/>
      <c r="CH36" s="410" t="s">
        <v>122</v>
      </c>
      <c r="CI36" s="571"/>
      <c r="CJ36" s="571"/>
      <c r="CK36" s="571"/>
      <c r="CL36" s="359">
        <f>IF(CO15&gt;0,0.79*CO33*CL32,0)</f>
        <v>0</v>
      </c>
      <c r="CM36" s="357" t="s">
        <v>125</v>
      </c>
      <c r="CN36" s="366">
        <f>IF(CL36&gt;0,CL36,0)</f>
        <v>0</v>
      </c>
      <c r="CO36" s="357" t="s">
        <v>123</v>
      </c>
      <c r="CP36" s="359" t="s">
        <v>137</v>
      </c>
      <c r="CQ36" s="357">
        <f>IF(CO15&gt;0,((0.55)*CO33*CL32)/10,0)</f>
        <v>0</v>
      </c>
      <c r="CS36" s="359" t="s">
        <v>135</v>
      </c>
      <c r="CT36" s="357">
        <f>IF(CO15&gt;0,((-0.1)*CO33*CL32)/10,0)</f>
        <v>0</v>
      </c>
      <c r="CZ36" s="359">
        <f>IF(CZ34&gt;=0.015,0.14,0)</f>
        <v>0</v>
      </c>
      <c r="DB36" s="359">
        <f>IF(O18&gt;0,((1.4*O18)/DB35)*100,0)</f>
        <v>0.52500000027700888</v>
      </c>
      <c r="DC36" s="359">
        <f>ROUND(DC35,0)</f>
        <v>13</v>
      </c>
      <c r="DG36" s="358">
        <f>SUM(DG33:DG35)</f>
        <v>22</v>
      </c>
      <c r="DL36" s="366">
        <f>IF(DL35&gt;DL33,DL35,DL33)</f>
        <v>3.9040623383474222</v>
      </c>
      <c r="DR36" s="407"/>
      <c r="ED36" s="362"/>
      <c r="EI36" s="362"/>
      <c r="EN36" s="362"/>
      <c r="EO36" s="358"/>
      <c r="EW36" s="360"/>
      <c r="FD36" s="377"/>
      <c r="FN36" s="355"/>
      <c r="GF36" s="111"/>
      <c r="HC36" s="111"/>
      <c r="HD36" s="111"/>
      <c r="HE36" s="111"/>
      <c r="HG36" s="113"/>
      <c r="HQ36" s="113"/>
      <c r="HS36" s="113"/>
      <c r="HW36" s="113"/>
      <c r="HZ36" s="113"/>
      <c r="IF36" s="113"/>
      <c r="IX36" s="114"/>
      <c r="JM36" s="111"/>
      <c r="JN36" s="111"/>
      <c r="JO36" s="111"/>
      <c r="JQ36" s="111"/>
    </row>
    <row r="37" spans="1:277" ht="13.5" customHeight="1" x14ac:dyDescent="0.25">
      <c r="A37" s="245"/>
      <c r="B37" s="18"/>
      <c r="C37" s="17"/>
      <c r="D37" s="1"/>
      <c r="E37" s="1"/>
      <c r="F37" s="1"/>
      <c r="G37" s="1"/>
      <c r="H37" s="1"/>
      <c r="I37" s="1"/>
      <c r="J37" s="1"/>
      <c r="K37" s="1"/>
      <c r="L37" s="8"/>
      <c r="M37" s="9"/>
      <c r="N37" s="207"/>
      <c r="O37" s="545" t="s">
        <v>66</v>
      </c>
      <c r="P37" s="545"/>
      <c r="Q37" s="545"/>
      <c r="R37" s="545"/>
      <c r="S37" s="562">
        <f>IF(T10*CX2&gt;0,T10*F7*DE18,0)</f>
        <v>46.24031687002477</v>
      </c>
      <c r="T37" s="562"/>
      <c r="U37" s="189" t="s">
        <v>70</v>
      </c>
      <c r="V37" s="189"/>
      <c r="W37" s="190"/>
      <c r="X37" s="582"/>
      <c r="Y37" s="482"/>
      <c r="Z37" s="123"/>
      <c r="AA37" s="153"/>
      <c r="AB37" s="458"/>
      <c r="AC37" s="528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2"/>
      <c r="AY37" s="598"/>
      <c r="CK37" s="359" t="s">
        <v>124</v>
      </c>
      <c r="CL37" s="366">
        <f>IF(CO15&gt;0,1.32*CL32,0)</f>
        <v>0</v>
      </c>
      <c r="CP37" s="359" t="s">
        <v>136</v>
      </c>
      <c r="CQ37" s="373">
        <f>IF(CO15&gt;0,2.64*CL32,0)</f>
        <v>0</v>
      </c>
      <c r="CS37" s="359" t="s">
        <v>134</v>
      </c>
      <c r="CT37" s="373">
        <f>IF(CO15&gt;0,3.96*CL32,0)</f>
        <v>0</v>
      </c>
      <c r="CZ37" s="359">
        <f>IF(CZ35+CZ36=0,((CZ34-0.001)*5)+0.07,0)</f>
        <v>8.4531250000000002E-2</v>
      </c>
      <c r="DB37" s="359" t="s">
        <v>52</v>
      </c>
      <c r="DR37" s="407"/>
      <c r="ED37" s="362"/>
      <c r="EI37" s="362"/>
      <c r="EN37" s="362"/>
      <c r="EO37" s="358"/>
      <c r="EW37" s="360"/>
      <c r="FD37" s="377"/>
      <c r="FN37" s="355"/>
      <c r="GF37" s="111"/>
      <c r="HC37" s="111"/>
      <c r="HD37" s="111"/>
      <c r="HE37" s="111"/>
      <c r="HG37" s="113"/>
      <c r="HQ37" s="113"/>
      <c r="HS37" s="113"/>
      <c r="HW37" s="113"/>
      <c r="HZ37" s="113"/>
      <c r="IF37" s="113"/>
      <c r="IX37" s="114"/>
      <c r="JM37" s="111"/>
      <c r="JN37" s="111"/>
      <c r="JO37" s="111"/>
      <c r="JQ37" s="111"/>
    </row>
    <row r="38" spans="1:277" ht="13.5" customHeight="1" x14ac:dyDescent="0.25">
      <c r="A38" s="245"/>
      <c r="B38" s="18"/>
      <c r="C38" s="17"/>
      <c r="D38" s="1"/>
      <c r="E38" s="1"/>
      <c r="F38" s="1"/>
      <c r="G38" s="1"/>
      <c r="H38" s="1"/>
      <c r="I38" s="1"/>
      <c r="J38" s="1"/>
      <c r="K38" s="1"/>
      <c r="L38" s="1"/>
      <c r="M38" s="84"/>
      <c r="N38" s="203"/>
      <c r="O38" s="572" t="s">
        <v>67</v>
      </c>
      <c r="P38" s="573"/>
      <c r="Q38" s="573"/>
      <c r="R38" s="573"/>
      <c r="S38" s="495">
        <f>IF(CX2=1,(C10*PI()/100)*DF18*(T10*100/J9),0)</f>
        <v>13.933295386634516</v>
      </c>
      <c r="T38" s="496"/>
      <c r="U38" s="189" t="s">
        <v>70</v>
      </c>
      <c r="V38" s="189"/>
      <c r="W38" s="194"/>
      <c r="X38" s="582"/>
      <c r="Y38" s="482"/>
      <c r="Z38" s="123"/>
      <c r="AA38" s="153"/>
      <c r="AB38" s="458"/>
      <c r="AC38" s="528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2"/>
      <c r="AY38" s="598"/>
      <c r="CY38" s="382"/>
      <c r="CZ38" s="382">
        <f>IF(CX2=1,SUM(CZ35:CZ37),0)</f>
        <v>8.4531250000000002E-2</v>
      </c>
      <c r="DA38" s="382"/>
      <c r="DB38" s="359">
        <f>IF(CX2*O18&gt;0,(1.15*DB36)-DB32,0)</f>
        <v>0.30488689983268347</v>
      </c>
      <c r="DC38" s="364">
        <f>IF(CX2=1,((100-((DC36*T16)/10))/DC36)*2,0)</f>
        <v>14.124615384615385</v>
      </c>
      <c r="DG38" s="448" t="s">
        <v>11</v>
      </c>
      <c r="DH38" s="448"/>
      <c r="DI38" s="448"/>
      <c r="DJ38" s="448"/>
      <c r="DK38" s="448"/>
      <c r="DL38" s="448"/>
      <c r="DR38" s="407"/>
      <c r="ED38" s="362"/>
      <c r="EI38" s="362"/>
      <c r="EN38" s="362"/>
      <c r="EO38" s="358"/>
      <c r="EW38" s="360"/>
      <c r="FD38" s="377"/>
      <c r="FN38" s="355"/>
      <c r="GF38" s="111"/>
      <c r="HC38" s="111"/>
      <c r="HD38" s="111"/>
      <c r="HE38" s="111"/>
      <c r="HG38" s="113"/>
      <c r="HQ38" s="113"/>
      <c r="HS38" s="113"/>
      <c r="HW38" s="113"/>
      <c r="HZ38" s="113"/>
      <c r="IF38" s="113"/>
      <c r="IX38" s="114"/>
      <c r="JM38" s="111"/>
      <c r="JN38" s="111"/>
      <c r="JO38" s="111"/>
      <c r="JQ38" s="111"/>
    </row>
    <row r="39" spans="1:277" ht="13.5" customHeight="1" x14ac:dyDescent="0.25">
      <c r="A39" s="245"/>
      <c r="B39" s="18"/>
      <c r="C39" s="17"/>
      <c r="D39" s="1"/>
      <c r="E39" s="1"/>
      <c r="F39" s="1"/>
      <c r="G39" s="1"/>
      <c r="H39" s="1"/>
      <c r="I39" s="1"/>
      <c r="J39" s="1"/>
      <c r="K39" s="1"/>
      <c r="L39" s="8"/>
      <c r="M39" s="9"/>
      <c r="N39" s="207"/>
      <c r="O39" s="195"/>
      <c r="P39" s="196"/>
      <c r="Q39" s="195"/>
      <c r="R39" s="196"/>
      <c r="S39" s="195"/>
      <c r="T39" s="196"/>
      <c r="U39" s="540"/>
      <c r="V39" s="541"/>
      <c r="W39" s="194"/>
      <c r="X39" s="582"/>
      <c r="Y39" s="482"/>
      <c r="Z39" s="123"/>
      <c r="AA39" s="153"/>
      <c r="AB39" s="458"/>
      <c r="AC39" s="528"/>
      <c r="AD39" s="141"/>
      <c r="AE39" s="155"/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6"/>
      <c r="AX39" s="103"/>
      <c r="AY39" s="598"/>
      <c r="AZ39" s="345"/>
      <c r="BA39" s="344"/>
      <c r="BB39" s="393"/>
      <c r="BC39" s="399"/>
      <c r="BD39" s="399"/>
      <c r="BE39" s="399"/>
      <c r="BF39" s="399"/>
      <c r="BG39" s="399"/>
      <c r="BH39" s="399"/>
      <c r="BI39" s="344"/>
      <c r="BJ39" s="359"/>
      <c r="BK39" s="359"/>
      <c r="BL39" s="359"/>
      <c r="BM39" s="359"/>
      <c r="BN39" s="359"/>
      <c r="BO39" s="359"/>
      <c r="BP39" s="359"/>
      <c r="BQ39" s="359"/>
      <c r="BR39" s="359"/>
      <c r="BS39" s="359"/>
      <c r="BT39" s="359"/>
      <c r="BU39" s="359"/>
      <c r="BV39" s="359"/>
      <c r="BW39" s="359"/>
      <c r="BX39" s="359"/>
      <c r="BY39" s="359"/>
      <c r="BZ39" s="359"/>
      <c r="CA39" s="359"/>
      <c r="CB39" s="359"/>
      <c r="CC39" s="359"/>
      <c r="CD39" s="359"/>
      <c r="CE39" s="359"/>
      <c r="CF39" s="359"/>
      <c r="CG39" s="359"/>
      <c r="CH39" s="359"/>
      <c r="CI39" s="359"/>
      <c r="CJ39" s="359"/>
      <c r="CM39" s="359"/>
      <c r="CN39" s="359"/>
      <c r="CO39" s="359"/>
      <c r="CP39" s="359"/>
      <c r="CQ39" s="359"/>
      <c r="CR39" s="359"/>
      <c r="CS39" s="359"/>
      <c r="DR39" s="407"/>
      <c r="ED39" s="362"/>
      <c r="EI39" s="362"/>
      <c r="EN39" s="362"/>
      <c r="EO39" s="358"/>
      <c r="EW39" s="360"/>
      <c r="FD39" s="377"/>
      <c r="FN39" s="355"/>
      <c r="GF39" s="111"/>
      <c r="HC39" s="111"/>
      <c r="HD39" s="111"/>
      <c r="HE39" s="111"/>
      <c r="HG39" s="113"/>
      <c r="HQ39" s="113"/>
      <c r="HS39" s="113"/>
      <c r="HW39" s="113"/>
      <c r="HZ39" s="113"/>
      <c r="IF39" s="113"/>
      <c r="IX39" s="114"/>
      <c r="JM39" s="111"/>
      <c r="JN39" s="111"/>
      <c r="JO39" s="111"/>
      <c r="JQ39" s="111"/>
    </row>
    <row r="40" spans="1:277" ht="13.5" customHeight="1" x14ac:dyDescent="0.25">
      <c r="A40" s="245"/>
      <c r="B40" s="18"/>
      <c r="C40" s="17"/>
      <c r="D40" s="1"/>
      <c r="E40" s="1"/>
      <c r="F40" s="1"/>
      <c r="G40" s="1"/>
      <c r="H40" s="1"/>
      <c r="I40" s="1"/>
      <c r="J40" s="1"/>
      <c r="K40" s="1"/>
      <c r="L40" s="1"/>
      <c r="M40" s="2"/>
      <c r="N40" s="208"/>
      <c r="O40" s="209"/>
      <c r="P40" s="209"/>
      <c r="Q40" s="209"/>
      <c r="R40" s="209"/>
      <c r="S40" s="209"/>
      <c r="T40" s="209"/>
      <c r="U40" s="209"/>
      <c r="V40" s="209"/>
      <c r="W40" s="209"/>
      <c r="X40" s="583"/>
      <c r="Y40" s="483"/>
      <c r="Z40" s="123"/>
      <c r="AA40" s="153"/>
      <c r="AB40" s="458"/>
      <c r="AC40" s="528"/>
      <c r="AD40" s="141"/>
      <c r="AE40" s="155"/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6"/>
      <c r="AX40" s="103"/>
      <c r="AY40" s="598"/>
      <c r="AZ40" s="345"/>
      <c r="BA40" s="344"/>
      <c r="BB40" s="393"/>
      <c r="BC40" s="399"/>
      <c r="BD40" s="399"/>
      <c r="BE40" s="399"/>
      <c r="BF40" s="399"/>
      <c r="BG40" s="399"/>
      <c r="BH40" s="399"/>
      <c r="BI40" s="344"/>
      <c r="BJ40" s="359"/>
      <c r="BK40" s="359"/>
      <c r="BL40" s="359"/>
      <c r="BM40" s="359"/>
      <c r="BN40" s="359"/>
      <c r="BO40" s="359"/>
      <c r="BP40" s="359"/>
      <c r="BQ40" s="359"/>
      <c r="BR40" s="359"/>
      <c r="BS40" s="359"/>
      <c r="BT40" s="359"/>
      <c r="BU40" s="359"/>
      <c r="BV40" s="359"/>
      <c r="BW40" s="359"/>
      <c r="BX40" s="359"/>
      <c r="BY40" s="359"/>
      <c r="BZ40" s="359"/>
      <c r="CA40" s="359"/>
      <c r="CB40" s="359"/>
      <c r="CC40" s="359"/>
      <c r="CD40" s="359"/>
      <c r="CE40" s="359"/>
      <c r="CF40" s="359"/>
      <c r="CG40" s="359"/>
      <c r="CH40" s="359"/>
      <c r="CI40" s="359"/>
      <c r="CJ40" s="359"/>
      <c r="CK40" s="359"/>
      <c r="CL40" s="359"/>
      <c r="CM40" s="359"/>
      <c r="CN40" s="359"/>
      <c r="CO40" s="359"/>
      <c r="CP40" s="359"/>
      <c r="CQ40" s="359"/>
      <c r="CR40" s="359"/>
      <c r="CS40" s="359"/>
      <c r="CT40" s="363"/>
      <c r="CU40" s="363"/>
      <c r="CZ40" s="382"/>
      <c r="DG40" s="359" t="s">
        <v>37</v>
      </c>
      <c r="DH40" s="359" t="s">
        <v>38</v>
      </c>
      <c r="DI40" s="359" t="s">
        <v>39</v>
      </c>
      <c r="DK40" s="359" t="s">
        <v>1</v>
      </c>
      <c r="DR40" s="407"/>
      <c r="ED40" s="362"/>
      <c r="EI40" s="362"/>
      <c r="EN40" s="362"/>
      <c r="EO40" s="358"/>
      <c r="EW40" s="360"/>
      <c r="FD40" s="377"/>
      <c r="FN40" s="355"/>
      <c r="GF40" s="111"/>
      <c r="HC40" s="111"/>
      <c r="HD40" s="111"/>
      <c r="HE40" s="111"/>
      <c r="HG40" s="113"/>
      <c r="HQ40" s="113"/>
      <c r="HS40" s="113"/>
      <c r="HW40" s="113"/>
      <c r="HZ40" s="113"/>
      <c r="IF40" s="113"/>
      <c r="IX40" s="114"/>
      <c r="JM40" s="111"/>
      <c r="JN40" s="111"/>
      <c r="JO40" s="111"/>
      <c r="JQ40" s="111"/>
    </row>
    <row r="41" spans="1:277" ht="13.5" customHeight="1" x14ac:dyDescent="0.25">
      <c r="A41" s="245"/>
      <c r="B41" s="18"/>
      <c r="C41" s="17"/>
      <c r="D41" s="1"/>
      <c r="E41" s="1"/>
      <c r="F41" s="1"/>
      <c r="G41" s="1"/>
      <c r="H41" s="1"/>
      <c r="I41" s="1"/>
      <c r="J41" s="1"/>
      <c r="K41" s="1"/>
      <c r="L41" s="1"/>
      <c r="M41" s="2"/>
      <c r="N41" s="563" t="str">
        <f>B12</f>
        <v>www.sitengenharia.com.br</v>
      </c>
      <c r="O41" s="563"/>
      <c r="P41" s="563"/>
      <c r="Q41" s="563"/>
      <c r="R41" s="563"/>
      <c r="S41" s="563"/>
      <c r="T41" s="563"/>
      <c r="U41" s="563"/>
      <c r="V41" s="563"/>
      <c r="W41" s="563"/>
      <c r="X41" s="563"/>
      <c r="Y41" s="564"/>
      <c r="Z41" s="121"/>
      <c r="AA41" s="151"/>
      <c r="AB41" s="458"/>
      <c r="AC41" s="528"/>
      <c r="AD41" s="141"/>
      <c r="AE41" s="155"/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6"/>
      <c r="AX41" s="103"/>
      <c r="AY41" s="598"/>
      <c r="AZ41" s="345"/>
      <c r="BA41" s="344"/>
      <c r="BB41" s="393"/>
      <c r="BC41" s="399"/>
      <c r="BD41" s="399"/>
      <c r="BE41" s="399"/>
      <c r="BF41" s="399"/>
      <c r="BG41" s="399"/>
      <c r="BH41" s="399"/>
      <c r="BI41" s="344"/>
      <c r="BJ41" s="359"/>
      <c r="BK41" s="359"/>
      <c r="BL41" s="359"/>
      <c r="BM41" s="359"/>
      <c r="BN41" s="359"/>
      <c r="BO41" s="359"/>
      <c r="BP41" s="359"/>
      <c r="BQ41" s="359"/>
      <c r="BR41" s="359"/>
      <c r="BS41" s="359"/>
      <c r="BT41" s="359"/>
      <c r="BU41" s="359"/>
      <c r="BV41" s="359"/>
      <c r="BW41" s="359"/>
      <c r="BX41" s="359"/>
      <c r="BY41" s="359"/>
      <c r="BZ41" s="359"/>
      <c r="CA41" s="359"/>
      <c r="CB41" s="359"/>
      <c r="CC41" s="359"/>
      <c r="CD41" s="359"/>
      <c r="CE41" s="359"/>
      <c r="CF41" s="359"/>
      <c r="CG41" s="359"/>
      <c r="CH41" s="592" t="s">
        <v>132</v>
      </c>
      <c r="CI41" s="568"/>
      <c r="CJ41" s="568"/>
      <c r="CK41" s="568"/>
      <c r="CL41" s="359">
        <f>IF(CO19&gt;0,CO19/(4*CL28*AE11),0)</f>
        <v>0.18473341608880708</v>
      </c>
      <c r="CM41" s="359"/>
      <c r="CN41" s="359"/>
      <c r="CO41" s="359"/>
      <c r="CP41" s="359"/>
      <c r="CQ41" s="359"/>
      <c r="CR41" s="359"/>
      <c r="CS41" s="359"/>
      <c r="CT41" s="382"/>
      <c r="CU41" s="382"/>
      <c r="CV41" s="382"/>
      <c r="DG41" s="359">
        <f>IF(T8&gt;0,T8,0)</f>
        <v>40</v>
      </c>
      <c r="DH41" s="359">
        <f>IF(T18&gt;0,C10,0)</f>
        <v>32</v>
      </c>
      <c r="DI41" s="359">
        <f>IF(T8*T18&gt;0,DH41/DG41,0)</f>
        <v>0.8</v>
      </c>
      <c r="DR41" s="407"/>
      <c r="ED41" s="362"/>
      <c r="EI41" s="362"/>
      <c r="EN41" s="362"/>
      <c r="EO41" s="358"/>
      <c r="EW41" s="360"/>
      <c r="FD41" s="377"/>
      <c r="FN41" s="355"/>
      <c r="GF41" s="111"/>
      <c r="HC41" s="111"/>
      <c r="HD41" s="111"/>
      <c r="HE41" s="111"/>
      <c r="HG41" s="113"/>
      <c r="HQ41" s="113"/>
      <c r="HS41" s="113"/>
      <c r="HW41" s="113"/>
      <c r="HZ41" s="113"/>
      <c r="IF41" s="113"/>
      <c r="IX41" s="114"/>
      <c r="JM41" s="111"/>
      <c r="JN41" s="111"/>
      <c r="JO41" s="111"/>
      <c r="JQ41" s="111"/>
    </row>
    <row r="42" spans="1:277" ht="13.5" customHeight="1" x14ac:dyDescent="0.25">
      <c r="A42" s="245"/>
      <c r="B42" s="18"/>
      <c r="C42" s="17"/>
      <c r="D42" s="1"/>
      <c r="E42" s="1"/>
      <c r="F42" s="1"/>
      <c r="G42" s="1"/>
      <c r="H42" s="1"/>
      <c r="I42" s="1"/>
      <c r="J42" s="1"/>
      <c r="K42" s="1"/>
      <c r="L42" s="1"/>
      <c r="M42" s="2"/>
      <c r="N42" s="225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18"/>
      <c r="Z42" s="121"/>
      <c r="AA42" s="151"/>
      <c r="AB42" s="458"/>
      <c r="AC42" s="528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2"/>
      <c r="AY42" s="598"/>
      <c r="CL42" s="373">
        <f>POWER(CL41,1/4)</f>
        <v>0.65559610594440743</v>
      </c>
      <c r="DK42" s="383">
        <f>IF(CX2=1,(1.4*(O16))/((T8*T8*T8)*DG20)*100,0)</f>
        <v>6.7812499999999998E-2</v>
      </c>
      <c r="DR42" s="407"/>
      <c r="ED42" s="362"/>
      <c r="EI42" s="362"/>
      <c r="EN42" s="362"/>
      <c r="EO42" s="358"/>
      <c r="EW42" s="360"/>
      <c r="FD42" s="377"/>
      <c r="FN42" s="355"/>
      <c r="GF42" s="111"/>
      <c r="HC42" s="111"/>
      <c r="HD42" s="111"/>
      <c r="HE42" s="111"/>
      <c r="HG42" s="113"/>
      <c r="HQ42" s="113"/>
      <c r="HS42" s="113"/>
      <c r="HW42" s="113"/>
      <c r="HZ42" s="113"/>
      <c r="IF42" s="113"/>
      <c r="IX42" s="114"/>
      <c r="JM42" s="111"/>
      <c r="JN42" s="111"/>
      <c r="JO42" s="111"/>
      <c r="JQ42" s="111"/>
    </row>
    <row r="43" spans="1:277" ht="13.5" customHeight="1" x14ac:dyDescent="0.25">
      <c r="A43" s="245"/>
      <c r="B43" s="18"/>
      <c r="C43" s="17"/>
      <c r="D43" s="1"/>
      <c r="E43" s="1"/>
      <c r="F43" s="1"/>
      <c r="G43" s="1"/>
      <c r="H43" s="1"/>
      <c r="I43" s="1"/>
      <c r="J43" s="1"/>
      <c r="K43" s="1"/>
      <c r="L43" s="1"/>
      <c r="M43" s="2"/>
      <c r="N43" s="226"/>
      <c r="O43" s="576" t="s">
        <v>72</v>
      </c>
      <c r="P43" s="577"/>
      <c r="Q43" s="578">
        <f>DI41</f>
        <v>0.8</v>
      </c>
      <c r="R43" s="579"/>
      <c r="S43" s="228"/>
      <c r="T43" s="554" t="s">
        <v>30</v>
      </c>
      <c r="U43" s="555"/>
      <c r="V43" s="465">
        <f>DG36</f>
        <v>22</v>
      </c>
      <c r="W43" s="465"/>
      <c r="X43" s="215"/>
      <c r="Y43" s="219"/>
      <c r="Z43" s="121"/>
      <c r="AA43" s="151"/>
      <c r="AB43" s="458"/>
      <c r="AC43" s="528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2"/>
      <c r="AY43" s="598"/>
      <c r="DG43" s="359">
        <f>IF(DI41&lt;=0.8,4.66666666666666,0)</f>
        <v>4.6666666666666599</v>
      </c>
      <c r="DH43" s="359">
        <f>IF(DI41&gt;0.75,4.66666666666666,0)</f>
        <v>4.6666666666666599</v>
      </c>
      <c r="DI43" s="359">
        <f>DH43*DG43</f>
        <v>21.777777777777715</v>
      </c>
      <c r="DJ43" s="359">
        <f>IF(DI43&gt;0,(DH43+DG43)/2,0)</f>
        <v>4.6666666666666599</v>
      </c>
      <c r="DR43" s="407"/>
      <c r="ED43" s="362"/>
      <c r="EI43" s="362"/>
      <c r="EN43" s="362"/>
      <c r="EO43" s="358"/>
      <c r="EW43" s="360"/>
      <c r="FD43" s="377"/>
      <c r="FN43" s="355"/>
      <c r="GF43" s="111"/>
      <c r="HC43" s="111"/>
      <c r="HD43" s="111"/>
      <c r="HE43" s="111"/>
      <c r="HG43" s="113"/>
      <c r="HQ43" s="113"/>
      <c r="HS43" s="113"/>
      <c r="HW43" s="113"/>
      <c r="HZ43" s="113"/>
      <c r="IF43" s="113"/>
      <c r="IX43" s="114"/>
      <c r="JM43" s="111"/>
      <c r="JN43" s="111"/>
      <c r="JO43" s="111"/>
      <c r="JQ43" s="111"/>
    </row>
    <row r="44" spans="1:277" ht="13.5" customHeight="1" x14ac:dyDescent="0.25">
      <c r="A44" s="245"/>
      <c r="B44" s="18"/>
      <c r="C44" s="17"/>
      <c r="D44" s="1"/>
      <c r="E44" s="1"/>
      <c r="F44" s="1"/>
      <c r="G44" s="1"/>
      <c r="H44" s="1"/>
      <c r="I44" s="1"/>
      <c r="J44" s="1"/>
      <c r="K44" s="1"/>
      <c r="L44" s="1"/>
      <c r="M44" s="2"/>
      <c r="N44" s="226"/>
      <c r="O44" s="459" t="s">
        <v>24</v>
      </c>
      <c r="P44" s="460"/>
      <c r="Q44" s="590">
        <f>DI20</f>
        <v>1256.6370614359173</v>
      </c>
      <c r="R44" s="591"/>
      <c r="S44" s="229" t="s">
        <v>29</v>
      </c>
      <c r="T44" s="580" t="s">
        <v>73</v>
      </c>
      <c r="U44" s="580"/>
      <c r="V44" s="548">
        <f>DH32</f>
        <v>1.5</v>
      </c>
      <c r="W44" s="548"/>
      <c r="X44" s="221"/>
      <c r="Y44" s="219"/>
      <c r="Z44" s="121"/>
      <c r="AA44" s="151"/>
      <c r="AB44" s="458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2"/>
      <c r="CE44" s="593" t="s">
        <v>120</v>
      </c>
      <c r="CF44" s="594"/>
      <c r="CG44" s="594"/>
      <c r="CH44" s="594"/>
      <c r="CI44" s="594"/>
      <c r="CJ44" s="594"/>
      <c r="CK44" s="359" t="s">
        <v>117</v>
      </c>
      <c r="CL44" s="373">
        <f>IF(CO19&gt;0,4/CL42,0)</f>
        <v>6.1013175089529712</v>
      </c>
      <c r="CM44" s="357" t="s">
        <v>1</v>
      </c>
      <c r="DG44" s="359">
        <f>IF(DI41&lt;=0.85,4.5,0)</f>
        <v>4.5</v>
      </c>
      <c r="DH44" s="359">
        <f>IF(DI41&gt;0.8,4.5,0)</f>
        <v>0</v>
      </c>
      <c r="DI44" s="359">
        <f>DH44*DG44</f>
        <v>0</v>
      </c>
      <c r="DJ44" s="359">
        <f>IF(DI44&gt;0,(DH44+DG44)/2,0)</f>
        <v>0</v>
      </c>
      <c r="DK44" s="383">
        <f>IF(DJ47&gt;0,DJ47*DK42,0)</f>
        <v>0.31645833333333284</v>
      </c>
      <c r="DR44" s="407"/>
      <c r="ED44" s="362"/>
      <c r="EI44" s="362"/>
      <c r="EN44" s="362"/>
      <c r="EO44" s="358"/>
      <c r="EW44" s="360"/>
      <c r="FD44" s="377"/>
      <c r="FN44" s="355"/>
      <c r="GF44" s="111"/>
      <c r="HC44" s="111"/>
      <c r="HD44" s="111"/>
      <c r="HE44" s="111"/>
      <c r="HG44" s="113"/>
      <c r="HQ44" s="113"/>
      <c r="HS44" s="113"/>
      <c r="HW44" s="113"/>
      <c r="HZ44" s="113"/>
      <c r="IF44" s="113"/>
      <c r="IX44" s="114"/>
      <c r="JM44" s="111"/>
      <c r="JN44" s="111"/>
      <c r="JO44" s="111"/>
      <c r="JQ44" s="111"/>
    </row>
    <row r="45" spans="1:277" ht="13.5" customHeight="1" x14ac:dyDescent="0.25">
      <c r="A45" s="245"/>
      <c r="B45" s="18"/>
      <c r="C45" s="17"/>
      <c r="D45" s="1"/>
      <c r="E45" s="1"/>
      <c r="F45" s="1"/>
      <c r="G45" s="1"/>
      <c r="H45" s="1"/>
      <c r="I45" s="1"/>
      <c r="J45" s="1"/>
      <c r="K45" s="1"/>
      <c r="L45" s="1"/>
      <c r="M45" s="2"/>
      <c r="N45" s="226"/>
      <c r="O45" s="459" t="s">
        <v>20</v>
      </c>
      <c r="P45" s="460"/>
      <c r="Q45" s="588">
        <f>DG20</f>
        <v>80.645161290322577</v>
      </c>
      <c r="R45" s="589"/>
      <c r="S45" s="229"/>
      <c r="T45" s="574" t="s">
        <v>65</v>
      </c>
      <c r="U45" s="575"/>
      <c r="V45" s="549">
        <f>DI32</f>
        <v>1</v>
      </c>
      <c r="W45" s="549"/>
      <c r="X45" s="215"/>
      <c r="Y45" s="219"/>
      <c r="Z45" s="121"/>
      <c r="AA45" s="151"/>
      <c r="AB45" s="458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2"/>
      <c r="CK45" s="359" t="s">
        <v>126</v>
      </c>
      <c r="CL45" s="357">
        <f>IF(CO19&gt;0,(2*CO32*0.001*CL42)/CO19,0)</f>
        <v>2.0172187875212535E-4</v>
      </c>
      <c r="CM45" s="357">
        <f>IF(CO19&gt;0,(2*CO31*0.001*(CL42*CL42))/CO19,0)</f>
        <v>1.1020673182806941E-4</v>
      </c>
      <c r="CN45" s="357">
        <f>SUM(CL45:CM45)</f>
        <v>3.1192861058019475E-4</v>
      </c>
      <c r="CO45" s="373">
        <f>IF(CO19&gt;0,CN45*100,0)</f>
        <v>3.1192861058019473E-2</v>
      </c>
      <c r="CP45" s="357" t="s">
        <v>5</v>
      </c>
      <c r="CS45" s="357">
        <f>IF(CO19&gt;0,((2*CO32*0.001*CL42)/CO19)*-0.012,0)</f>
        <v>-2.4206625450255041E-6</v>
      </c>
      <c r="CT45" s="357">
        <f>IF(CO19&gt;0,((2*CO31*0.001*(CL42*CL42)))/0.0019/CO19,0)</f>
        <v>5.8003543067404961E-2</v>
      </c>
      <c r="CU45" s="359">
        <f>SUM(CS45:CT45)</f>
        <v>5.8001122404859932E-2</v>
      </c>
      <c r="CV45" s="359">
        <f>CU45*100</f>
        <v>5.8001122404859933</v>
      </c>
      <c r="DG45" s="359">
        <f>IF(DI41&lt;=0.9,4.4,0)</f>
        <v>4.4000000000000004</v>
      </c>
      <c r="DH45" s="359">
        <f>IF(DI41&gt;0.85,4.4,0)</f>
        <v>0</v>
      </c>
      <c r="DI45" s="359">
        <f>DH45*DG45</f>
        <v>0</v>
      </c>
      <c r="DJ45" s="359">
        <f>IF(DI45&gt;0,(DH45+DG45)/2,0)</f>
        <v>0</v>
      </c>
      <c r="DR45" s="407"/>
      <c r="ED45" s="362"/>
      <c r="EI45" s="362"/>
      <c r="EN45" s="362"/>
      <c r="EO45" s="358"/>
      <c r="EW45" s="360"/>
      <c r="FD45" s="377"/>
      <c r="FN45" s="355"/>
      <c r="GF45" s="111"/>
      <c r="HC45" s="111"/>
      <c r="HD45" s="111"/>
      <c r="HE45" s="111"/>
      <c r="HG45" s="113"/>
      <c r="HQ45" s="113"/>
      <c r="HS45" s="113"/>
      <c r="HW45" s="113"/>
      <c r="HZ45" s="113"/>
      <c r="IF45" s="113"/>
      <c r="IX45" s="114"/>
      <c r="JM45" s="111"/>
      <c r="JN45" s="111"/>
      <c r="JO45" s="111"/>
      <c r="JQ45" s="111"/>
    </row>
    <row r="46" spans="1:277" ht="13.5" customHeight="1" x14ac:dyDescent="0.25">
      <c r="A46" s="245"/>
      <c r="B46" s="18"/>
      <c r="C46" s="17"/>
      <c r="D46" s="1"/>
      <c r="E46" s="1"/>
      <c r="F46" s="1"/>
      <c r="G46" s="1"/>
      <c r="H46" s="1"/>
      <c r="I46" s="1"/>
      <c r="J46" s="1"/>
      <c r="K46" s="1"/>
      <c r="L46" s="1"/>
      <c r="M46" s="2"/>
      <c r="N46" s="226"/>
      <c r="O46" s="459" t="s">
        <v>95</v>
      </c>
      <c r="P46" s="460"/>
      <c r="Q46" s="461">
        <f>DF29</f>
        <v>3.1</v>
      </c>
      <c r="R46" s="462"/>
      <c r="S46" s="229"/>
      <c r="T46" s="553" t="s">
        <v>34</v>
      </c>
      <c r="U46" s="553"/>
      <c r="V46" s="556">
        <f>DJ32</f>
        <v>2100000</v>
      </c>
      <c r="W46" s="556"/>
      <c r="X46" s="556"/>
      <c r="Y46" s="219"/>
      <c r="Z46" s="121"/>
      <c r="AA46" s="151"/>
      <c r="AB46" s="458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2"/>
      <c r="CH46" s="410" t="s">
        <v>122</v>
      </c>
      <c r="CI46" s="571"/>
      <c r="CJ46" s="571"/>
      <c r="CK46" s="571"/>
      <c r="CL46" s="357">
        <f>IF(CO19&gt;0,(0.32*(CO32/CL42))+(0.7*CO31),0)</f>
        <v>3.2143162021487131</v>
      </c>
      <c r="CM46" s="379">
        <f>IF(CO19&gt;0,CL46,0)</f>
        <v>3.2143162021487131</v>
      </c>
      <c r="CN46" s="357" t="s">
        <v>127</v>
      </c>
      <c r="CQ46" s="357">
        <f>IF(CO19&gt;0,((-0.0139*(CO32/CL42))+(4*CO31))/10,0)</f>
        <v>0.99363937649691658</v>
      </c>
      <c r="DG46" s="359">
        <f>IF(DI41&lt;=0.95,3.9,0)</f>
        <v>3.9</v>
      </c>
      <c r="DH46" s="359">
        <f>IF(DI41&gt;0.9,3.9,0)</f>
        <v>0</v>
      </c>
      <c r="DI46" s="359">
        <f>DH46*DG46</f>
        <v>0</v>
      </c>
      <c r="DJ46" s="359">
        <f>IF(DI46&gt;0,(DH46+DG46)/2,0)</f>
        <v>0</v>
      </c>
      <c r="DK46" s="359" t="s">
        <v>25</v>
      </c>
      <c r="DR46" s="407"/>
      <c r="ED46" s="362"/>
      <c r="EI46" s="362"/>
      <c r="EN46" s="362"/>
      <c r="EO46" s="358"/>
      <c r="EW46" s="360"/>
      <c r="FD46" s="377"/>
      <c r="FN46" s="355"/>
      <c r="GF46" s="111"/>
      <c r="HC46" s="111"/>
      <c r="HD46" s="111"/>
      <c r="HE46" s="111"/>
      <c r="HG46" s="113"/>
      <c r="HQ46" s="113"/>
      <c r="HS46" s="113"/>
      <c r="HW46" s="113"/>
      <c r="HZ46" s="113"/>
      <c r="IF46" s="113"/>
      <c r="IX46" s="114"/>
      <c r="JM46" s="111"/>
      <c r="JN46" s="111"/>
      <c r="JO46" s="111"/>
      <c r="JQ46" s="111"/>
    </row>
    <row r="47" spans="1:277" ht="13.5" customHeight="1" x14ac:dyDescent="0.25">
      <c r="A47" s="245"/>
      <c r="B47" s="18"/>
      <c r="C47" s="17"/>
      <c r="D47" s="1"/>
      <c r="E47" s="1"/>
      <c r="F47" s="1"/>
      <c r="G47" s="1"/>
      <c r="H47" s="1"/>
      <c r="I47" s="1"/>
      <c r="J47" s="1"/>
      <c r="K47" s="1"/>
      <c r="L47" s="1"/>
      <c r="M47" s="2"/>
      <c r="N47" s="226"/>
      <c r="O47" s="459" t="s">
        <v>96</v>
      </c>
      <c r="P47" s="460"/>
      <c r="Q47" s="461">
        <v>1.4</v>
      </c>
      <c r="R47" s="462"/>
      <c r="S47" s="229"/>
      <c r="T47" s="554" t="s">
        <v>1</v>
      </c>
      <c r="U47" s="555"/>
      <c r="V47" s="557">
        <f>DK42</f>
        <v>6.7812499999999998E-2</v>
      </c>
      <c r="W47" s="557"/>
      <c r="X47" s="216"/>
      <c r="Y47" s="219"/>
      <c r="Z47" s="121"/>
      <c r="AA47" s="151"/>
      <c r="AB47" s="458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2"/>
      <c r="CK47" s="359" t="s">
        <v>124</v>
      </c>
      <c r="CL47" s="366">
        <f>IF(CO19&gt;0,0.7/CL42,0)</f>
        <v>1.0677305640667698</v>
      </c>
      <c r="CM47" s="357" t="s">
        <v>1</v>
      </c>
      <c r="CQ47" s="366">
        <f>IF(CO19&gt;0,4/CL42,0)</f>
        <v>6.1013175089529712</v>
      </c>
      <c r="DJ47" s="358">
        <f>SUM(DJ43:DJ46)</f>
        <v>4.6666666666666599</v>
      </c>
      <c r="DK47" s="366">
        <f>IF(CX2=1,(DK44*DI20*DG20)/DH20,0)</f>
        <v>7.6358154774751794</v>
      </c>
      <c r="DR47" s="407"/>
      <c r="ED47" s="362"/>
      <c r="EI47" s="362"/>
      <c r="EN47" s="362"/>
      <c r="EO47" s="358"/>
      <c r="EW47" s="360"/>
      <c r="FD47" s="377"/>
      <c r="FN47" s="355"/>
      <c r="GF47" s="111"/>
      <c r="HC47" s="111"/>
      <c r="HD47" s="111"/>
      <c r="HE47" s="111"/>
      <c r="HG47" s="113"/>
      <c r="HQ47" s="113"/>
      <c r="HS47" s="113"/>
      <c r="HW47" s="113"/>
      <c r="HZ47" s="113"/>
      <c r="IF47" s="113"/>
      <c r="IX47" s="114"/>
      <c r="JM47" s="111"/>
      <c r="JN47" s="111"/>
      <c r="JO47" s="111"/>
      <c r="JQ47" s="111"/>
    </row>
    <row r="48" spans="1:277" ht="13.5" customHeight="1" x14ac:dyDescent="0.25">
      <c r="A48" s="245"/>
      <c r="B48" s="18"/>
      <c r="C48" s="17"/>
      <c r="D48" s="1"/>
      <c r="E48" s="1"/>
      <c r="F48" s="1"/>
      <c r="G48" s="1"/>
      <c r="H48" s="1"/>
      <c r="I48" s="1"/>
      <c r="J48" s="1"/>
      <c r="K48" s="1"/>
      <c r="L48" s="1"/>
      <c r="M48" s="2"/>
      <c r="N48" s="226"/>
      <c r="O48" s="459" t="s">
        <v>97</v>
      </c>
      <c r="P48" s="460"/>
      <c r="Q48" s="461">
        <v>1.1499999999999999</v>
      </c>
      <c r="R48" s="462"/>
      <c r="S48" s="221"/>
      <c r="T48" s="553" t="s">
        <v>74</v>
      </c>
      <c r="U48" s="553"/>
      <c r="V48" s="558">
        <f>DK44</f>
        <v>0.31645833333333284</v>
      </c>
      <c r="W48" s="558"/>
      <c r="X48" s="222"/>
      <c r="Y48" s="219"/>
      <c r="Z48" s="121"/>
      <c r="AA48" s="151"/>
      <c r="AB48" s="458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2"/>
      <c r="DK48" s="382">
        <f>IF(CX2=1,DI20*0.0015,0)</f>
        <v>1.8849555921538761</v>
      </c>
      <c r="DR48" s="407"/>
      <c r="ED48" s="362"/>
      <c r="EI48" s="362"/>
      <c r="EN48" s="362"/>
      <c r="EO48" s="358"/>
      <c r="EW48" s="360"/>
      <c r="FD48" s="377"/>
      <c r="FN48" s="355"/>
      <c r="GF48" s="111"/>
      <c r="HC48" s="111"/>
      <c r="HD48" s="111"/>
      <c r="HE48" s="111"/>
      <c r="HG48" s="113"/>
      <c r="HQ48" s="113"/>
      <c r="HS48" s="113"/>
      <c r="HW48" s="113"/>
      <c r="HZ48" s="113"/>
      <c r="IF48" s="113"/>
      <c r="IX48" s="114"/>
      <c r="JM48" s="111"/>
      <c r="JN48" s="111"/>
      <c r="JO48" s="111"/>
      <c r="JQ48" s="111"/>
    </row>
    <row r="49" spans="1:286" ht="13.5" customHeight="1" x14ac:dyDescent="0.25">
      <c r="A49" s="245"/>
      <c r="B49" s="18"/>
      <c r="C49" s="17"/>
      <c r="D49" s="1"/>
      <c r="E49" s="1"/>
      <c r="F49" s="1"/>
      <c r="G49" s="1"/>
      <c r="H49" s="1"/>
      <c r="I49" s="1"/>
      <c r="J49" s="1"/>
      <c r="K49" s="1"/>
      <c r="L49" s="1"/>
      <c r="M49" s="2"/>
      <c r="N49" s="226"/>
      <c r="O49" s="565" t="s">
        <v>21</v>
      </c>
      <c r="P49" s="566"/>
      <c r="Q49" s="463">
        <f>DH20</f>
        <v>4200</v>
      </c>
      <c r="R49" s="464"/>
      <c r="S49" s="221"/>
      <c r="T49" s="221"/>
      <c r="U49" s="221"/>
      <c r="V49" s="221"/>
      <c r="W49" s="221"/>
      <c r="X49" s="221"/>
      <c r="Y49" s="219"/>
      <c r="Z49" s="121"/>
      <c r="AA49" s="151"/>
      <c r="AB49" s="458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2"/>
      <c r="DK49" s="366">
        <f>IF(DK48&gt;DK47,DK48,DK47)</f>
        <v>7.6358154774751794</v>
      </c>
      <c r="DR49" s="407"/>
      <c r="ED49" s="362"/>
      <c r="EI49" s="362"/>
      <c r="EN49" s="362"/>
      <c r="EO49" s="358"/>
      <c r="EW49" s="360"/>
      <c r="FD49" s="377"/>
      <c r="FN49" s="355"/>
      <c r="GF49" s="111"/>
      <c r="HC49" s="111"/>
      <c r="HD49" s="111"/>
      <c r="HE49" s="111"/>
      <c r="HG49" s="113"/>
      <c r="HQ49" s="113"/>
      <c r="HS49" s="113"/>
      <c r="HW49" s="113"/>
      <c r="HZ49" s="113"/>
      <c r="IF49" s="113"/>
      <c r="IX49" s="114"/>
      <c r="JM49" s="111"/>
      <c r="JN49" s="111"/>
      <c r="JO49" s="111"/>
      <c r="JQ49" s="111"/>
    </row>
    <row r="50" spans="1:286" ht="13.5" customHeight="1" x14ac:dyDescent="0.25">
      <c r="A50" s="245"/>
      <c r="B50" s="173"/>
      <c r="C50" s="174"/>
      <c r="D50" s="172"/>
      <c r="E50" s="172"/>
      <c r="F50" s="172"/>
      <c r="G50" s="172"/>
      <c r="H50" s="172"/>
      <c r="I50" s="172"/>
      <c r="J50" s="172"/>
      <c r="K50" s="172"/>
      <c r="L50" s="171"/>
      <c r="M50" s="171"/>
      <c r="N50" s="224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0"/>
      <c r="Z50" s="121"/>
      <c r="AA50" s="151"/>
      <c r="AB50" s="458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2"/>
      <c r="DR50" s="407"/>
      <c r="ED50" s="362"/>
      <c r="EI50" s="362"/>
      <c r="EN50" s="362"/>
      <c r="EO50" s="358"/>
      <c r="EW50" s="360"/>
      <c r="FD50" s="377"/>
      <c r="FN50" s="355"/>
      <c r="GF50" s="111"/>
      <c r="HC50" s="111"/>
      <c r="HD50" s="111"/>
      <c r="HE50" s="111"/>
      <c r="HG50" s="113"/>
      <c r="HQ50" s="113"/>
      <c r="HS50" s="113"/>
      <c r="HW50" s="113"/>
      <c r="HZ50" s="113"/>
      <c r="IF50" s="113"/>
      <c r="IX50" s="114"/>
      <c r="JM50" s="111"/>
      <c r="JN50" s="111"/>
      <c r="JO50" s="111"/>
      <c r="JQ50" s="111"/>
    </row>
    <row r="51" spans="1:286" ht="13.5" customHeight="1" x14ac:dyDescent="0.25">
      <c r="A51" s="245"/>
      <c r="B51" s="248"/>
      <c r="C51" s="249"/>
      <c r="D51" s="250"/>
      <c r="E51" s="250"/>
      <c r="F51" s="250"/>
      <c r="G51" s="250"/>
      <c r="H51" s="250"/>
      <c r="I51" s="250"/>
      <c r="J51" s="250"/>
      <c r="K51" s="250"/>
      <c r="L51" s="251"/>
      <c r="M51" s="251"/>
      <c r="N51" s="584" t="str">
        <f>E3</f>
        <v xml:space="preserve">Leandro Bertaco Lúcio  CREA-SP:5069233488         </v>
      </c>
      <c r="O51" s="584"/>
      <c r="P51" s="584"/>
      <c r="Q51" s="584"/>
      <c r="R51" s="584"/>
      <c r="S51" s="584"/>
      <c r="T51" s="584"/>
      <c r="U51" s="584"/>
      <c r="V51" s="584"/>
      <c r="W51" s="584"/>
      <c r="X51" s="584"/>
      <c r="Y51" s="585"/>
      <c r="Z51" s="121"/>
      <c r="AA51" s="15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2"/>
      <c r="CN51" s="359">
        <f>IF(CX2=1,T10/10,0)</f>
        <v>0.8</v>
      </c>
      <c r="CZ51" s="359" t="s">
        <v>145</v>
      </c>
      <c r="DR51" s="407"/>
      <c r="ED51" s="362"/>
      <c r="EI51" s="362"/>
      <c r="EN51" s="362"/>
      <c r="EO51" s="358"/>
      <c r="EW51" s="360"/>
      <c r="FD51" s="377"/>
      <c r="FN51" s="355"/>
      <c r="GF51" s="111"/>
      <c r="HC51" s="111"/>
      <c r="HD51" s="111"/>
      <c r="HE51" s="111"/>
      <c r="HG51" s="113"/>
      <c r="HQ51" s="113"/>
      <c r="HS51" s="113"/>
      <c r="HW51" s="113"/>
      <c r="HZ51" s="113"/>
      <c r="IF51" s="113"/>
      <c r="IX51" s="114"/>
      <c r="JM51" s="111"/>
      <c r="JN51" s="111"/>
      <c r="JO51" s="111"/>
      <c r="JQ51" s="111"/>
    </row>
    <row r="52" spans="1:286" ht="13.5" customHeight="1" x14ac:dyDescent="0.25">
      <c r="A52" s="245"/>
      <c r="B52" s="248"/>
      <c r="C52" s="249"/>
      <c r="D52" s="250"/>
      <c r="E52" s="250"/>
      <c r="F52" s="250"/>
      <c r="G52" s="250"/>
      <c r="H52" s="250"/>
      <c r="I52" s="250"/>
      <c r="J52" s="250"/>
      <c r="K52" s="250"/>
      <c r="L52" s="250"/>
      <c r="M52" s="252"/>
      <c r="N52" s="586"/>
      <c r="O52" s="586"/>
      <c r="P52" s="586"/>
      <c r="Q52" s="586"/>
      <c r="R52" s="586"/>
      <c r="S52" s="586"/>
      <c r="T52" s="586"/>
      <c r="U52" s="586"/>
      <c r="V52" s="586"/>
      <c r="W52" s="586"/>
      <c r="X52" s="586"/>
      <c r="Y52" s="587"/>
      <c r="Z52" s="121"/>
      <c r="AA52" s="15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2"/>
      <c r="CE52" s="567" t="s">
        <v>120</v>
      </c>
      <c r="CF52" s="568"/>
      <c r="CG52" s="568"/>
      <c r="CH52" s="568"/>
      <c r="CI52" s="568"/>
      <c r="CJ52" s="568"/>
      <c r="CK52" s="359">
        <f>CL33+CL44</f>
        <v>6.1013175089529712</v>
      </c>
      <c r="CL52" s="357" t="s">
        <v>1</v>
      </c>
      <c r="CN52" s="357">
        <f>IF(CT57=1,CK52/CN51,0)</f>
        <v>7.6266468861912138</v>
      </c>
      <c r="CO52" s="384" t="s">
        <v>140</v>
      </c>
      <c r="CS52" s="448" t="s">
        <v>144</v>
      </c>
      <c r="CT52" s="449"/>
      <c r="CU52" s="449"/>
      <c r="CZ52" s="359" t="s">
        <v>146</v>
      </c>
      <c r="DA52" s="359">
        <v>0</v>
      </c>
      <c r="DB52" s="359">
        <f>IF(CT57=1,CN53,0)</f>
        <v>0.31192861058019472</v>
      </c>
      <c r="DD52" s="359">
        <f>DA52</f>
        <v>0</v>
      </c>
      <c r="DE52" s="359">
        <f t="shared" ref="DE52:DE54" si="8">DB52</f>
        <v>0.31192861058019472</v>
      </c>
      <c r="DR52" s="407"/>
      <c r="ED52" s="362"/>
      <c r="EI52" s="362"/>
      <c r="EN52" s="362"/>
      <c r="EO52" s="358"/>
      <c r="EW52" s="360"/>
      <c r="FD52" s="377"/>
      <c r="FN52" s="355"/>
      <c r="GF52" s="111"/>
      <c r="HC52" s="111"/>
      <c r="HD52" s="111"/>
      <c r="HE52" s="111"/>
      <c r="HG52" s="113"/>
      <c r="HQ52" s="113"/>
      <c r="HS52" s="113"/>
      <c r="HW52" s="113"/>
      <c r="HZ52" s="113"/>
      <c r="IF52" s="113"/>
      <c r="IX52" s="114"/>
      <c r="JM52" s="111"/>
      <c r="JN52" s="111"/>
      <c r="JO52" s="111"/>
      <c r="JQ52" s="111"/>
    </row>
    <row r="53" spans="1:286" ht="13.5" customHeight="1" x14ac:dyDescent="0.25">
      <c r="A53" s="245"/>
      <c r="B53" s="248"/>
      <c r="C53" s="249"/>
      <c r="D53" s="250"/>
      <c r="E53" s="250"/>
      <c r="F53" s="250"/>
      <c r="G53" s="250"/>
      <c r="H53" s="250"/>
      <c r="I53" s="250"/>
      <c r="J53" s="250"/>
      <c r="K53" s="250"/>
      <c r="L53" s="250"/>
      <c r="M53" s="252"/>
      <c r="N53" s="250"/>
      <c r="O53" s="252"/>
      <c r="P53" s="250"/>
      <c r="Q53" s="252"/>
      <c r="R53" s="250"/>
      <c r="S53" s="252"/>
      <c r="T53" s="250"/>
      <c r="U53" s="551"/>
      <c r="V53" s="552"/>
      <c r="W53" s="253"/>
      <c r="X53" s="254"/>
      <c r="Y53" s="255"/>
      <c r="Z53" s="121"/>
      <c r="AA53" s="15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2"/>
      <c r="CE53" s="609" t="str">
        <f>IF(CO15&gt;0,CH35,CH41)</f>
        <v xml:space="preserve">Hetenyi </v>
      </c>
      <c r="CF53" s="610"/>
      <c r="CG53" s="610"/>
      <c r="CH53" s="610"/>
      <c r="CI53" s="610"/>
      <c r="CJ53" s="610"/>
      <c r="CK53" s="359"/>
      <c r="CL53" s="357" t="s">
        <v>141</v>
      </c>
      <c r="CN53" s="357">
        <f>IF(CX2=1,(CM35+CO45)*10,0)</f>
        <v>0.31192861058019472</v>
      </c>
      <c r="CS53" s="357">
        <v>0</v>
      </c>
      <c r="CT53" s="385">
        <f>IF(CT57=1,CK55,0)</f>
        <v>3.2143162021487131</v>
      </c>
      <c r="CU53" s="385">
        <f>IF(CT57=1,CK57,0)</f>
        <v>0.99363937649691658</v>
      </c>
      <c r="CV53" s="359">
        <v>0</v>
      </c>
      <c r="CZ53" s="359" t="s">
        <v>147</v>
      </c>
      <c r="DA53" s="359">
        <f>IF(CT57=1,CN56,0)</f>
        <v>7.6266468861912138</v>
      </c>
      <c r="DB53" s="382">
        <f>IF(CT57=1,CV45+CS35,0)</f>
        <v>5.8001122404859933</v>
      </c>
      <c r="DD53" s="363">
        <f>CT54</f>
        <v>1.3346632050834621</v>
      </c>
      <c r="DE53" s="359">
        <v>0</v>
      </c>
      <c r="DR53" s="407"/>
      <c r="ED53" s="362"/>
      <c r="EI53" s="362"/>
      <c r="EN53" s="362"/>
      <c r="EO53" s="358"/>
      <c r="EW53" s="360"/>
      <c r="FD53" s="377"/>
      <c r="FN53" s="355"/>
      <c r="GF53" s="111"/>
      <c r="HC53" s="111"/>
      <c r="HD53" s="111"/>
      <c r="HE53" s="111"/>
      <c r="HG53" s="113"/>
      <c r="HQ53" s="113"/>
      <c r="HS53" s="113"/>
      <c r="HW53" s="113"/>
      <c r="HZ53" s="113"/>
      <c r="IF53" s="113"/>
      <c r="IX53" s="114"/>
      <c r="JM53" s="111"/>
      <c r="JN53" s="111"/>
      <c r="JO53" s="111"/>
      <c r="JQ53" s="111"/>
    </row>
    <row r="54" spans="1:286" ht="13.5" customHeight="1" x14ac:dyDescent="0.25">
      <c r="A54" s="245"/>
      <c r="B54" s="248"/>
      <c r="C54" s="249"/>
      <c r="D54" s="250"/>
      <c r="E54" s="250"/>
      <c r="F54" s="250"/>
      <c r="G54" s="250"/>
      <c r="H54" s="250"/>
      <c r="I54" s="250"/>
      <c r="J54" s="250"/>
      <c r="K54" s="250"/>
      <c r="L54" s="250"/>
      <c r="M54" s="252"/>
      <c r="N54" s="250"/>
      <c r="O54" s="252"/>
      <c r="P54" s="250"/>
      <c r="Q54" s="252"/>
      <c r="R54" s="250"/>
      <c r="S54" s="252"/>
      <c r="T54" s="250"/>
      <c r="U54" s="551"/>
      <c r="V54" s="552"/>
      <c r="W54" s="253"/>
      <c r="X54" s="254"/>
      <c r="Y54" s="255"/>
      <c r="Z54" s="121"/>
      <c r="AA54" s="15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2"/>
      <c r="CE54" s="448" t="s">
        <v>128</v>
      </c>
      <c r="CF54" s="449"/>
      <c r="CG54" s="449"/>
      <c r="CH54" s="449"/>
      <c r="CI54" s="449"/>
      <c r="CJ54" s="449"/>
      <c r="CK54" s="363">
        <f>CL37+CL47</f>
        <v>1.0677305640667698</v>
      </c>
      <c r="CL54" s="357" t="s">
        <v>1</v>
      </c>
      <c r="CN54" s="357">
        <f>IF(CX2=1,CK54/CN51)</f>
        <v>1.3346632050834621</v>
      </c>
      <c r="CO54" s="357">
        <f>CN54</f>
        <v>1.3346632050834621</v>
      </c>
      <c r="CS54" s="357">
        <v>0</v>
      </c>
      <c r="CT54" s="385">
        <f>IF(CT57=1,CN54,0)</f>
        <v>1.3346632050834621</v>
      </c>
      <c r="CU54" s="385">
        <f>IF(CT57=1,CN56,0)</f>
        <v>7.6266468861912138</v>
      </c>
      <c r="CV54" s="359">
        <v>10</v>
      </c>
      <c r="CZ54" s="359" t="s">
        <v>148</v>
      </c>
      <c r="DA54" s="364">
        <f>IF(CT57=1,10,0)</f>
        <v>10</v>
      </c>
      <c r="DB54" s="359">
        <v>0</v>
      </c>
      <c r="DD54" s="359">
        <f t="shared" ref="DD54" si="9">DA54</f>
        <v>10</v>
      </c>
      <c r="DE54" s="359">
        <f t="shared" si="8"/>
        <v>0</v>
      </c>
      <c r="DR54" s="407"/>
      <c r="ED54" s="362"/>
      <c r="EI54" s="362"/>
      <c r="EN54" s="362"/>
      <c r="EO54" s="358"/>
      <c r="EW54" s="360"/>
      <c r="FD54" s="377"/>
      <c r="FN54" s="355"/>
      <c r="GF54" s="111"/>
      <c r="HC54" s="111"/>
      <c r="HD54" s="111"/>
      <c r="HE54" s="111"/>
      <c r="HG54" s="113"/>
      <c r="HQ54" s="113"/>
      <c r="HS54" s="113"/>
      <c r="HW54" s="113"/>
      <c r="HZ54" s="113"/>
      <c r="IF54" s="113"/>
      <c r="IX54" s="114"/>
      <c r="JM54" s="111"/>
      <c r="JN54" s="111"/>
      <c r="JO54" s="111"/>
      <c r="JQ54" s="111"/>
    </row>
    <row r="55" spans="1:286" ht="13.5" customHeight="1" x14ac:dyDescent="0.25">
      <c r="A55" s="245"/>
      <c r="B55" s="248"/>
      <c r="C55" s="249"/>
      <c r="D55" s="250"/>
      <c r="E55" s="250"/>
      <c r="F55" s="250"/>
      <c r="G55" s="250"/>
      <c r="H55" s="250"/>
      <c r="I55" s="250"/>
      <c r="J55" s="250"/>
      <c r="K55" s="250"/>
      <c r="L55" s="250"/>
      <c r="M55" s="252"/>
      <c r="N55" s="250"/>
      <c r="O55" s="252"/>
      <c r="P55" s="250"/>
      <c r="Q55" s="252"/>
      <c r="R55" s="250"/>
      <c r="S55" s="252"/>
      <c r="T55" s="250"/>
      <c r="U55" s="256"/>
      <c r="V55" s="257"/>
      <c r="W55" s="253"/>
      <c r="X55" s="254"/>
      <c r="Y55" s="255"/>
      <c r="Z55" s="121"/>
      <c r="AA55" s="15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2"/>
      <c r="CE55" s="448" t="s">
        <v>129</v>
      </c>
      <c r="CF55" s="449"/>
      <c r="CG55" s="449"/>
      <c r="CH55" s="449"/>
      <c r="CI55" s="449"/>
      <c r="CJ55" s="449"/>
      <c r="CK55" s="363">
        <f>CN36+CM46</f>
        <v>3.2143162021487131</v>
      </c>
      <c r="CL55" s="357" t="s">
        <v>130</v>
      </c>
      <c r="DR55" s="407"/>
      <c r="ED55" s="362"/>
      <c r="EI55" s="362"/>
      <c r="EN55" s="362"/>
      <c r="EO55" s="358"/>
      <c r="EW55" s="360"/>
      <c r="FD55" s="377"/>
      <c r="FN55" s="355"/>
      <c r="GF55" s="111"/>
      <c r="HC55" s="111"/>
      <c r="HD55" s="111"/>
      <c r="HE55" s="111"/>
      <c r="HG55" s="113"/>
      <c r="HQ55" s="113"/>
      <c r="HS55" s="113"/>
      <c r="HW55" s="113"/>
      <c r="HZ55" s="113"/>
      <c r="IF55" s="113"/>
      <c r="IX55" s="114"/>
      <c r="JM55" s="111"/>
      <c r="JN55" s="111"/>
      <c r="JO55" s="111"/>
      <c r="JQ55" s="111"/>
    </row>
    <row r="56" spans="1:286" ht="13.5" customHeight="1" x14ac:dyDescent="0.25">
      <c r="A56" s="245"/>
      <c r="B56" s="248"/>
      <c r="C56" s="249"/>
      <c r="D56" s="250"/>
      <c r="E56" s="250"/>
      <c r="F56" s="250"/>
      <c r="G56" s="250"/>
      <c r="H56" s="250"/>
      <c r="I56" s="250"/>
      <c r="J56" s="250"/>
      <c r="K56" s="250"/>
      <c r="L56" s="250"/>
      <c r="M56" s="252"/>
      <c r="N56" s="250"/>
      <c r="O56" s="252"/>
      <c r="P56" s="250"/>
      <c r="Q56" s="252"/>
      <c r="R56" s="250"/>
      <c r="S56" s="252"/>
      <c r="T56" s="250"/>
      <c r="U56" s="256"/>
      <c r="V56" s="257"/>
      <c r="W56" s="253"/>
      <c r="X56" s="254"/>
      <c r="Y56" s="255"/>
      <c r="Z56" s="121"/>
      <c r="AA56" s="15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2"/>
      <c r="CE56" s="448" t="s">
        <v>139</v>
      </c>
      <c r="CF56" s="449"/>
      <c r="CG56" s="449"/>
      <c r="CH56" s="449"/>
      <c r="CI56" s="449"/>
      <c r="CJ56" s="449"/>
      <c r="CK56" s="363">
        <f>CQ47+CT37</f>
        <v>6.1013175089529712</v>
      </c>
      <c r="CN56" s="357">
        <f>IF(CX2=1,CK56/CN51)</f>
        <v>7.6266468861912138</v>
      </c>
      <c r="DR56" s="407"/>
      <c r="ED56" s="362"/>
      <c r="EI56" s="362"/>
      <c r="EN56" s="362"/>
      <c r="EO56" s="358"/>
      <c r="EW56" s="360"/>
      <c r="FD56" s="377"/>
      <c r="FN56" s="355"/>
      <c r="GF56" s="111"/>
      <c r="HC56" s="111"/>
      <c r="HD56" s="111"/>
      <c r="HE56" s="111"/>
      <c r="HG56" s="113"/>
      <c r="HQ56" s="113"/>
      <c r="HS56" s="113"/>
      <c r="HW56" s="113"/>
      <c r="HZ56" s="113"/>
      <c r="IF56" s="113"/>
      <c r="IX56" s="114"/>
      <c r="JM56" s="111"/>
      <c r="JN56" s="111"/>
      <c r="JO56" s="111"/>
      <c r="JQ56" s="111"/>
    </row>
    <row r="57" spans="1:286" ht="13.5" customHeight="1" x14ac:dyDescent="0.25">
      <c r="A57" s="247"/>
      <c r="B57" s="258"/>
      <c r="C57" s="259"/>
      <c r="D57" s="260"/>
      <c r="E57" s="260"/>
      <c r="F57" s="260"/>
      <c r="G57" s="260"/>
      <c r="H57" s="260"/>
      <c r="I57" s="260"/>
      <c r="J57" s="260"/>
      <c r="K57" s="260"/>
      <c r="L57" s="260"/>
      <c r="M57" s="261"/>
      <c r="N57" s="260"/>
      <c r="O57" s="261"/>
      <c r="P57" s="260"/>
      <c r="Q57" s="261"/>
      <c r="R57" s="260"/>
      <c r="S57" s="261"/>
      <c r="T57" s="260"/>
      <c r="U57" s="262"/>
      <c r="V57" s="263"/>
      <c r="W57" s="264"/>
      <c r="X57" s="265"/>
      <c r="Y57" s="266"/>
      <c r="Z57" s="128"/>
      <c r="AA57" s="157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9"/>
      <c r="CE57" s="448" t="s">
        <v>138</v>
      </c>
      <c r="CF57" s="449"/>
      <c r="CG57" s="449"/>
      <c r="CH57" s="449"/>
      <c r="CI57" s="449"/>
      <c r="CJ57" s="449"/>
      <c r="CK57" s="363">
        <f>CQ46+CT36</f>
        <v>0.99363937649691658</v>
      </c>
      <c r="CT57" s="359">
        <f>IF(T10&gt;CK52,1,0)</f>
        <v>1</v>
      </c>
      <c r="DR57" s="407"/>
      <c r="ED57" s="362"/>
      <c r="EI57" s="362"/>
      <c r="EN57" s="362"/>
      <c r="EO57" s="358"/>
      <c r="EW57" s="360"/>
      <c r="FD57" s="377"/>
      <c r="FN57" s="355"/>
      <c r="GF57" s="111"/>
      <c r="HC57" s="111"/>
      <c r="HD57" s="111"/>
      <c r="HE57" s="111"/>
      <c r="HG57" s="113"/>
      <c r="HQ57" s="113"/>
      <c r="HS57" s="113"/>
      <c r="HW57" s="113"/>
      <c r="HZ57" s="113"/>
      <c r="IF57" s="113"/>
      <c r="IX57" s="114"/>
      <c r="JM57" s="111"/>
      <c r="JN57" s="111"/>
      <c r="JO57" s="111"/>
      <c r="JQ57" s="111"/>
    </row>
    <row r="58" spans="1:286" ht="39" customHeight="1" x14ac:dyDescent="0.25">
      <c r="A58" s="175"/>
      <c r="B58" s="176"/>
      <c r="C58" s="177"/>
      <c r="D58" s="178"/>
      <c r="E58" s="178"/>
      <c r="F58" s="178"/>
      <c r="G58" s="178"/>
      <c r="H58" s="178"/>
      <c r="I58" s="178"/>
      <c r="J58" s="178"/>
      <c r="K58" s="178"/>
      <c r="L58" s="178"/>
      <c r="M58" s="179"/>
      <c r="N58" s="178"/>
      <c r="O58" s="179"/>
      <c r="P58" s="178"/>
      <c r="Q58" s="179"/>
      <c r="R58" s="178"/>
      <c r="S58" s="179"/>
      <c r="T58" s="178"/>
      <c r="U58" s="180"/>
      <c r="V58" s="181"/>
      <c r="W58" s="182"/>
      <c r="X58" s="183"/>
      <c r="Y58" s="184"/>
      <c r="Z58" s="127"/>
      <c r="AA58" s="157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9"/>
      <c r="AX58" s="104"/>
      <c r="AY58" s="132"/>
      <c r="DR58" s="407"/>
      <c r="ED58" s="362"/>
      <c r="EI58" s="362"/>
      <c r="EN58" s="362"/>
      <c r="EO58" s="358"/>
      <c r="EW58" s="360"/>
      <c r="FD58" s="377"/>
      <c r="FN58" s="355"/>
      <c r="GF58" s="111"/>
      <c r="HC58" s="111"/>
      <c r="HD58" s="111"/>
      <c r="HE58" s="111"/>
      <c r="HG58" s="113"/>
      <c r="HQ58" s="113"/>
      <c r="HS58" s="113"/>
      <c r="HW58" s="113"/>
      <c r="HZ58" s="113"/>
      <c r="IF58" s="113"/>
      <c r="IX58" s="114"/>
      <c r="JM58" s="111"/>
      <c r="JN58" s="111"/>
      <c r="JO58" s="111"/>
      <c r="JQ58" s="111"/>
    </row>
    <row r="59" spans="1:286" ht="13.5" hidden="1" customHeight="1" x14ac:dyDescent="0.25">
      <c r="A59" s="47"/>
      <c r="B59" s="21"/>
      <c r="C59" s="82"/>
      <c r="D59" s="22"/>
      <c r="E59" s="22"/>
      <c r="F59" s="22"/>
      <c r="G59" s="22"/>
      <c r="H59" s="22"/>
      <c r="I59" s="22"/>
      <c r="J59" s="22"/>
      <c r="K59" s="22"/>
      <c r="L59" s="22"/>
      <c r="M59" s="23"/>
      <c r="N59" s="22"/>
      <c r="O59" s="23"/>
      <c r="P59" s="22"/>
      <c r="Q59" s="23"/>
      <c r="R59" s="22"/>
      <c r="S59" s="23"/>
      <c r="T59" s="22"/>
      <c r="U59" s="51"/>
      <c r="V59" s="19"/>
      <c r="W59" s="52"/>
      <c r="X59" s="16"/>
      <c r="Y59" s="83"/>
      <c r="Z59" s="83"/>
      <c r="AA59" s="102"/>
      <c r="DR59" s="407"/>
      <c r="ED59" s="362"/>
      <c r="EI59" s="362"/>
      <c r="EN59" s="362"/>
      <c r="EO59" s="358"/>
      <c r="EW59" s="360"/>
      <c r="FD59" s="377"/>
      <c r="FN59" s="355"/>
      <c r="GF59" s="111"/>
      <c r="HC59" s="111"/>
      <c r="HD59" s="111"/>
      <c r="HE59" s="111"/>
      <c r="HG59" s="113"/>
      <c r="HQ59" s="113"/>
      <c r="HS59" s="113"/>
      <c r="HW59" s="113"/>
      <c r="HZ59" s="113"/>
      <c r="IF59" s="113"/>
      <c r="IX59" s="114"/>
      <c r="JM59" s="111"/>
      <c r="JN59" s="111"/>
      <c r="JO59" s="111"/>
      <c r="JQ59" s="111"/>
    </row>
    <row r="60" spans="1:286" hidden="1" x14ac:dyDescent="0.25">
      <c r="A60" s="47"/>
      <c r="B60" s="21"/>
      <c r="C60" s="82"/>
      <c r="D60" s="22"/>
      <c r="E60" s="22"/>
      <c r="F60" s="22"/>
      <c r="G60" s="22"/>
      <c r="H60" s="22"/>
      <c r="I60" s="22"/>
      <c r="J60" s="22"/>
      <c r="K60" s="22"/>
      <c r="L60" s="22"/>
      <c r="M60" s="23"/>
      <c r="N60" s="22"/>
      <c r="O60" s="23"/>
      <c r="P60" s="22"/>
      <c r="Q60" s="23"/>
      <c r="R60" s="22"/>
      <c r="S60" s="23"/>
      <c r="T60" s="22"/>
      <c r="U60" s="51"/>
      <c r="V60" s="19"/>
      <c r="W60" s="52"/>
      <c r="X60" s="16"/>
      <c r="Y60" s="83"/>
      <c r="Z60" s="83"/>
      <c r="AA60" s="102"/>
      <c r="DR60" s="407"/>
      <c r="ED60" s="362"/>
      <c r="EI60" s="362"/>
      <c r="EN60" s="362"/>
      <c r="EO60" s="358"/>
      <c r="EW60" s="360"/>
      <c r="FD60" s="377"/>
      <c r="FN60" s="355"/>
      <c r="GF60" s="111"/>
      <c r="HC60" s="111"/>
      <c r="HD60" s="111"/>
      <c r="HE60" s="111"/>
      <c r="HG60" s="113"/>
      <c r="HQ60" s="113"/>
      <c r="HS60" s="113"/>
      <c r="HW60" s="113"/>
      <c r="HZ60" s="113"/>
      <c r="IF60" s="113"/>
      <c r="IX60" s="114"/>
      <c r="JM60" s="111"/>
      <c r="JN60" s="111"/>
      <c r="JO60" s="111"/>
      <c r="JQ60" s="111"/>
    </row>
    <row r="61" spans="1:286" ht="17.100000000000001" hidden="1" customHeight="1" x14ac:dyDescent="0.25">
      <c r="A61" s="47"/>
      <c r="B61" s="21"/>
      <c r="C61" s="82"/>
      <c r="D61" s="22"/>
      <c r="E61" s="22"/>
      <c r="F61" s="22"/>
      <c r="G61" s="22"/>
      <c r="H61" s="22"/>
      <c r="I61" s="22"/>
      <c r="J61" s="22"/>
      <c r="K61" s="22"/>
      <c r="L61" s="22"/>
      <c r="M61" s="23"/>
      <c r="N61" s="22"/>
      <c r="O61" s="23"/>
      <c r="P61" s="22"/>
      <c r="Q61" s="23"/>
      <c r="R61" s="22"/>
      <c r="S61" s="23"/>
      <c r="T61" s="22"/>
      <c r="U61" s="51"/>
      <c r="V61" s="19"/>
      <c r="W61" s="52"/>
      <c r="X61" s="16"/>
      <c r="Y61" s="83"/>
      <c r="Z61" s="83"/>
      <c r="AA61" s="102"/>
      <c r="DR61" s="407"/>
      <c r="ED61" s="362"/>
      <c r="EI61" s="362"/>
      <c r="EN61" s="362"/>
      <c r="EO61" s="358"/>
      <c r="EW61" s="360"/>
      <c r="FD61" s="377"/>
      <c r="FN61" s="355"/>
      <c r="GF61" s="111"/>
      <c r="HC61" s="111"/>
      <c r="HD61" s="111"/>
      <c r="HE61" s="111"/>
      <c r="HG61" s="113"/>
      <c r="HQ61" s="113"/>
      <c r="HS61" s="113"/>
      <c r="HW61" s="113"/>
      <c r="HZ61" s="113"/>
      <c r="IF61" s="113"/>
      <c r="IX61" s="114"/>
      <c r="JM61" s="111"/>
      <c r="JN61" s="111"/>
      <c r="JO61" s="111"/>
      <c r="JQ61" s="111"/>
    </row>
    <row r="62" spans="1:286" ht="17.100000000000001" hidden="1" customHeight="1" x14ac:dyDescent="0.25">
      <c r="A62" s="47"/>
      <c r="B62" s="24"/>
      <c r="C62" s="25"/>
      <c r="D62" s="22"/>
      <c r="E62" s="22"/>
      <c r="F62" s="22"/>
      <c r="G62" s="22"/>
      <c r="H62" s="22"/>
      <c r="I62" s="22"/>
      <c r="J62" s="22"/>
      <c r="K62" s="22"/>
      <c r="L62" s="22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12"/>
      <c r="X62" s="12"/>
      <c r="Y62" s="12"/>
      <c r="Z62" s="12"/>
      <c r="AA62" s="105"/>
      <c r="DR62" s="407"/>
      <c r="ED62" s="362"/>
      <c r="EI62" s="362"/>
      <c r="EN62" s="362"/>
      <c r="EO62" s="358"/>
      <c r="EW62" s="360"/>
      <c r="FD62" s="377"/>
      <c r="FN62" s="355"/>
      <c r="GF62" s="111"/>
      <c r="HC62" s="111"/>
      <c r="HD62" s="111"/>
      <c r="HE62" s="111"/>
      <c r="HG62" s="113"/>
      <c r="HQ62" s="113"/>
      <c r="HS62" s="113"/>
      <c r="HW62" s="113"/>
      <c r="HZ62" s="113"/>
      <c r="IF62" s="113"/>
      <c r="IX62" s="114"/>
      <c r="JM62" s="111"/>
      <c r="JN62" s="111"/>
      <c r="JO62" s="111"/>
      <c r="JQ62" s="111"/>
    </row>
    <row r="63" spans="1:286" ht="16.5" hidden="1" customHeight="1" x14ac:dyDescent="0.25">
      <c r="A63" s="47"/>
      <c r="B63" s="26"/>
      <c r="P63" s="27"/>
      <c r="Q63" s="27"/>
      <c r="R63" s="27"/>
      <c r="S63" s="27"/>
      <c r="T63" s="27"/>
      <c r="U63" s="27"/>
      <c r="V63" s="27"/>
      <c r="W63" s="12"/>
      <c r="X63" s="12"/>
      <c r="Y63" s="12"/>
      <c r="Z63" s="12"/>
      <c r="AA63" s="105"/>
      <c r="EC63" s="358"/>
      <c r="EV63" s="375"/>
      <c r="EX63" s="386"/>
    </row>
    <row r="64" spans="1:286" ht="15" hidden="1" customHeight="1" x14ac:dyDescent="0.25">
      <c r="A64" s="48"/>
      <c r="B64" s="28"/>
      <c r="C64" s="28"/>
      <c r="D64" s="29"/>
      <c r="E64" s="29"/>
      <c r="F64" s="29"/>
      <c r="G64" s="29"/>
      <c r="H64" s="29"/>
      <c r="I64" s="29"/>
      <c r="J64" s="30"/>
      <c r="K64" s="30"/>
      <c r="L64" s="31"/>
      <c r="M64" s="31"/>
      <c r="N64" s="31"/>
      <c r="O64" s="31"/>
      <c r="P64" s="31"/>
      <c r="Q64" s="31"/>
      <c r="R64" s="31"/>
      <c r="S64" s="32"/>
      <c r="T64" s="32"/>
      <c r="U64" s="32"/>
      <c r="V64" s="32"/>
      <c r="W64" s="32"/>
      <c r="X64" s="32"/>
      <c r="Y64" s="12"/>
      <c r="Z64" s="12"/>
      <c r="AA64" s="105"/>
      <c r="GG64" s="111"/>
      <c r="GH64" s="111"/>
      <c r="GI64" s="111"/>
      <c r="GJ64" s="111"/>
      <c r="GK64" s="111"/>
      <c r="GL64" s="111"/>
      <c r="GM64" s="111"/>
      <c r="GN64" s="111"/>
      <c r="GO64" s="111"/>
      <c r="HC64" s="117"/>
      <c r="HF64" s="111"/>
      <c r="HG64" s="111"/>
      <c r="HL64" s="117"/>
      <c r="HZ64" s="111"/>
      <c r="IA64" s="111"/>
      <c r="IF64" s="111"/>
      <c r="IG64" s="111"/>
      <c r="IH64" s="111"/>
      <c r="II64" s="111"/>
      <c r="IN64" s="118"/>
      <c r="IO64" s="118"/>
      <c r="IT64" s="111"/>
      <c r="IU64" s="111"/>
      <c r="IV64" s="111"/>
      <c r="IW64" s="111"/>
      <c r="IX64" s="111"/>
      <c r="IY64" s="111"/>
      <c r="IZ64" s="111"/>
      <c r="JA64" s="111"/>
      <c r="JB64" s="111"/>
      <c r="JC64" s="111"/>
      <c r="JD64" s="111"/>
      <c r="JF64" s="111"/>
      <c r="JG64" s="111"/>
      <c r="JH64" s="111"/>
      <c r="JK64" s="111"/>
      <c r="JM64" s="111"/>
      <c r="JN64" s="111"/>
      <c r="JO64" s="111"/>
      <c r="JP64" s="111"/>
      <c r="JQ64" s="111"/>
      <c r="JR64" s="111"/>
      <c r="JT64" s="111"/>
      <c r="JV64" s="111"/>
      <c r="JX64" s="111"/>
      <c r="JZ64" s="111"/>
    </row>
    <row r="65" spans="1:287" s="110" customFormat="1" ht="15" hidden="1" customHeight="1" x14ac:dyDescent="0.25">
      <c r="A65" s="48"/>
      <c r="B65" s="54"/>
      <c r="C65" s="33"/>
      <c r="D65" s="33"/>
      <c r="E65" s="33"/>
      <c r="F65" s="33"/>
      <c r="G65" s="33"/>
      <c r="H65" s="33"/>
      <c r="I65" s="33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32"/>
      <c r="W65" s="32"/>
      <c r="X65" s="32"/>
      <c r="Y65" s="14"/>
      <c r="Z65" s="14"/>
      <c r="AA65" s="106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9"/>
      <c r="AX65" s="100"/>
      <c r="AY65" s="130"/>
      <c r="AZ65" s="346"/>
      <c r="BA65" s="343"/>
      <c r="BB65" s="389"/>
      <c r="BC65" s="395"/>
      <c r="BD65" s="395"/>
      <c r="BE65" s="395"/>
      <c r="BF65" s="395"/>
      <c r="BG65" s="395"/>
      <c r="BH65" s="395"/>
      <c r="BI65" s="343"/>
      <c r="BJ65" s="357"/>
      <c r="BK65" s="357"/>
      <c r="BL65" s="357"/>
      <c r="BM65" s="357"/>
      <c r="BN65" s="357"/>
      <c r="BO65" s="357"/>
      <c r="BP65" s="357"/>
      <c r="BQ65" s="357"/>
      <c r="BR65" s="357"/>
      <c r="BS65" s="357"/>
      <c r="BT65" s="357"/>
      <c r="BU65" s="357"/>
      <c r="BV65" s="357"/>
      <c r="BW65" s="357"/>
      <c r="BX65" s="357"/>
      <c r="BY65" s="357"/>
      <c r="BZ65" s="357"/>
      <c r="CA65" s="357"/>
      <c r="CB65" s="357"/>
      <c r="CC65" s="357"/>
      <c r="CD65" s="357"/>
      <c r="CE65" s="357"/>
      <c r="CF65" s="357"/>
      <c r="CG65" s="357"/>
      <c r="CH65" s="357"/>
      <c r="CI65" s="357"/>
      <c r="CJ65" s="357"/>
      <c r="CK65" s="357"/>
      <c r="CL65" s="357"/>
      <c r="CM65" s="357"/>
      <c r="CN65" s="357"/>
      <c r="CO65" s="357"/>
      <c r="CP65" s="357"/>
      <c r="CQ65" s="357"/>
      <c r="CR65" s="357"/>
      <c r="CS65" s="357"/>
      <c r="CT65" s="359"/>
      <c r="CU65" s="359"/>
      <c r="CV65" s="359"/>
      <c r="CW65" s="359"/>
      <c r="CX65" s="359"/>
      <c r="CY65" s="359"/>
      <c r="CZ65" s="359"/>
      <c r="DA65" s="359"/>
      <c r="DB65" s="359"/>
      <c r="DC65" s="359"/>
      <c r="DD65" s="359"/>
      <c r="DE65" s="359"/>
      <c r="DF65" s="359"/>
      <c r="DG65" s="359"/>
      <c r="DH65" s="359"/>
      <c r="DI65" s="359"/>
      <c r="DJ65" s="359"/>
      <c r="DK65" s="359"/>
      <c r="DL65" s="359"/>
      <c r="DM65" s="359"/>
      <c r="DN65" s="408"/>
      <c r="DO65" s="408"/>
      <c r="DP65" s="408"/>
      <c r="DQ65" s="408"/>
      <c r="DR65" s="408"/>
      <c r="DS65" s="408"/>
      <c r="DT65" s="408"/>
      <c r="DU65" s="408"/>
      <c r="DV65" s="408"/>
      <c r="DW65" s="408"/>
      <c r="DX65" s="408"/>
      <c r="DY65" s="408"/>
      <c r="DZ65" s="408"/>
      <c r="EA65" s="359"/>
      <c r="EB65" s="359"/>
      <c r="EC65" s="357"/>
      <c r="ED65" s="359"/>
      <c r="EE65" s="359"/>
      <c r="EF65" s="359"/>
      <c r="EG65" s="359"/>
      <c r="EH65" s="359"/>
      <c r="EI65" s="359"/>
      <c r="EJ65" s="359"/>
      <c r="EK65" s="359"/>
      <c r="EL65" s="359"/>
      <c r="EM65" s="359"/>
      <c r="EN65" s="359"/>
      <c r="EO65" s="359"/>
      <c r="EP65" s="360"/>
      <c r="EQ65" s="360"/>
      <c r="ER65" s="360"/>
      <c r="ES65" s="360"/>
      <c r="ET65" s="360"/>
      <c r="EU65" s="360"/>
      <c r="EV65" s="360"/>
      <c r="EW65" s="361"/>
      <c r="EX65" s="360"/>
      <c r="EY65" s="360"/>
      <c r="EZ65" s="360"/>
      <c r="FA65" s="360"/>
      <c r="FB65" s="360"/>
      <c r="FC65" s="360"/>
      <c r="FD65" s="360"/>
      <c r="FE65" s="360"/>
      <c r="FF65" s="360"/>
      <c r="FG65" s="360"/>
      <c r="FH65" s="352"/>
      <c r="FI65" s="352"/>
      <c r="FJ65" s="352"/>
      <c r="FK65" s="352"/>
      <c r="FL65" s="352"/>
      <c r="FM65" s="352"/>
      <c r="FN65" s="352"/>
      <c r="FO65" s="345"/>
      <c r="FP65" s="345"/>
      <c r="FQ65" s="345"/>
      <c r="FR65" s="345"/>
      <c r="FS65" s="345"/>
      <c r="FT65" s="112"/>
      <c r="FU65" s="112"/>
      <c r="FV65" s="112"/>
      <c r="FW65" s="112"/>
      <c r="FX65" s="112"/>
      <c r="FY65" s="112"/>
      <c r="FZ65" s="112"/>
      <c r="GA65" s="112"/>
      <c r="GB65" s="112"/>
      <c r="GC65" s="112"/>
      <c r="GD65" s="112"/>
      <c r="GE65" s="112"/>
      <c r="GF65" s="112"/>
      <c r="GG65" s="111"/>
      <c r="GH65" s="111"/>
      <c r="GI65" s="111"/>
      <c r="GJ65" s="111"/>
      <c r="GK65" s="111"/>
      <c r="GL65" s="111"/>
      <c r="GM65" s="111"/>
      <c r="GN65" s="111"/>
      <c r="GO65" s="111"/>
      <c r="GP65" s="111"/>
      <c r="GQ65" s="111"/>
      <c r="GR65" s="112"/>
      <c r="GS65" s="112"/>
      <c r="GT65" s="112"/>
      <c r="GU65" s="112"/>
      <c r="GV65" s="112"/>
      <c r="GW65" s="112"/>
      <c r="GX65" s="112"/>
      <c r="GY65" s="112"/>
      <c r="GZ65" s="112"/>
      <c r="HA65" s="112"/>
      <c r="HB65" s="112"/>
      <c r="HC65" s="115"/>
      <c r="HD65" s="112"/>
      <c r="HE65" s="112"/>
      <c r="HF65" s="111"/>
      <c r="HG65" s="111"/>
      <c r="HH65" s="112"/>
      <c r="HI65" s="112"/>
      <c r="HJ65" s="112"/>
      <c r="HK65" s="112"/>
      <c r="HL65" s="115"/>
      <c r="HM65" s="112"/>
      <c r="HN65" s="112"/>
      <c r="HO65" s="112"/>
      <c r="HP65" s="112"/>
      <c r="HQ65" s="112"/>
      <c r="HR65" s="112"/>
      <c r="HS65" s="112"/>
      <c r="HT65" s="112"/>
      <c r="HU65" s="112"/>
      <c r="HV65" s="112"/>
      <c r="HW65" s="112"/>
      <c r="HX65" s="112"/>
      <c r="HY65" s="112"/>
      <c r="HZ65" s="111"/>
      <c r="IA65" s="111"/>
      <c r="IB65" s="111"/>
      <c r="IC65" s="111"/>
      <c r="ID65" s="111"/>
      <c r="IE65" s="111"/>
      <c r="IF65" s="111"/>
      <c r="IG65" s="111"/>
      <c r="IH65" s="111"/>
      <c r="II65" s="111"/>
      <c r="IJ65" s="112"/>
      <c r="IK65" s="112"/>
      <c r="IL65" s="112"/>
      <c r="IM65" s="111"/>
      <c r="IN65" s="118"/>
      <c r="IO65" s="118"/>
      <c r="IP65" s="111"/>
      <c r="IQ65" s="111"/>
      <c r="IR65" s="111"/>
      <c r="IS65" s="111"/>
      <c r="IT65" s="111"/>
      <c r="IU65" s="111"/>
      <c r="IV65" s="111"/>
      <c r="IW65" s="111"/>
      <c r="IX65" s="111"/>
      <c r="IY65" s="111"/>
      <c r="IZ65" s="111"/>
      <c r="JA65" s="111"/>
      <c r="JB65" s="111"/>
      <c r="JC65" s="111"/>
      <c r="JD65" s="111"/>
      <c r="JE65" s="111"/>
      <c r="JF65" s="111"/>
      <c r="JG65" s="111"/>
      <c r="JH65" s="111"/>
      <c r="JI65" s="112"/>
      <c r="JJ65" s="111"/>
      <c r="JK65" s="111"/>
      <c r="JL65" s="112"/>
      <c r="JM65" s="111"/>
      <c r="JN65" s="111"/>
      <c r="JO65" s="111"/>
      <c r="JP65" s="111"/>
      <c r="JQ65" s="111"/>
      <c r="JR65" s="111"/>
      <c r="JS65" s="111"/>
      <c r="JT65" s="111"/>
      <c r="JU65" s="111"/>
      <c r="JV65" s="111"/>
      <c r="JW65" s="111"/>
      <c r="JX65" s="111"/>
      <c r="JY65" s="111"/>
      <c r="JZ65" s="111"/>
      <c r="KA65" s="111"/>
    </row>
    <row r="66" spans="1:287" s="110" customFormat="1" ht="15" hidden="1" customHeight="1" x14ac:dyDescent="0.25">
      <c r="A66" s="49"/>
      <c r="B66" s="34"/>
      <c r="C66" s="35"/>
      <c r="D66" s="35"/>
      <c r="E66" s="35"/>
      <c r="F66" s="35"/>
      <c r="G66" s="35"/>
      <c r="H66" s="35"/>
      <c r="I66" s="36"/>
      <c r="J66" s="37"/>
      <c r="K66" s="37"/>
      <c r="L66" s="38"/>
      <c r="M66" s="39"/>
      <c r="N66" s="40"/>
      <c r="O66" s="41"/>
      <c r="P66" s="27"/>
      <c r="Q66" s="27"/>
      <c r="R66" s="13"/>
      <c r="S66" s="13"/>
      <c r="T66" s="13"/>
      <c r="U66" s="13"/>
      <c r="V66" s="27"/>
      <c r="W66" s="42"/>
      <c r="X66" s="42"/>
      <c r="Y66" s="13"/>
      <c r="Z66" s="13"/>
      <c r="AA66" s="107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9"/>
      <c r="AX66" s="100"/>
      <c r="AY66" s="130"/>
      <c r="AZ66" s="346"/>
      <c r="BA66" s="343"/>
      <c r="BB66" s="389"/>
      <c r="BC66" s="395"/>
      <c r="BD66" s="395"/>
      <c r="BE66" s="395"/>
      <c r="BF66" s="395"/>
      <c r="BG66" s="395"/>
      <c r="BH66" s="395"/>
      <c r="BI66" s="343"/>
      <c r="BJ66" s="357"/>
      <c r="BK66" s="357"/>
      <c r="BL66" s="357"/>
      <c r="BM66" s="357"/>
      <c r="BN66" s="357"/>
      <c r="BO66" s="357"/>
      <c r="BP66" s="357"/>
      <c r="BQ66" s="357"/>
      <c r="BR66" s="357"/>
      <c r="BS66" s="357"/>
      <c r="BT66" s="357"/>
      <c r="BU66" s="357"/>
      <c r="BV66" s="357"/>
      <c r="BW66" s="357"/>
      <c r="BX66" s="357"/>
      <c r="BY66" s="357"/>
      <c r="BZ66" s="357"/>
      <c r="CA66" s="357"/>
      <c r="CB66" s="357"/>
      <c r="CC66" s="357"/>
      <c r="CD66" s="357"/>
      <c r="CE66" s="357"/>
      <c r="CF66" s="357"/>
      <c r="CG66" s="357"/>
      <c r="CH66" s="357"/>
      <c r="CI66" s="357"/>
      <c r="CJ66" s="357"/>
      <c r="CK66" s="357"/>
      <c r="CL66" s="357"/>
      <c r="CM66" s="357"/>
      <c r="CN66" s="357"/>
      <c r="CO66" s="357"/>
      <c r="CP66" s="357"/>
      <c r="CQ66" s="357"/>
      <c r="CR66" s="357"/>
      <c r="CS66" s="357"/>
      <c r="CT66" s="359"/>
      <c r="CU66" s="359"/>
      <c r="CV66" s="359"/>
      <c r="CW66" s="359"/>
      <c r="CX66" s="359"/>
      <c r="CY66" s="359"/>
      <c r="CZ66" s="359"/>
      <c r="DA66" s="359"/>
      <c r="DB66" s="359"/>
      <c r="DC66" s="359"/>
      <c r="DD66" s="359"/>
      <c r="DE66" s="359"/>
      <c r="DF66" s="359"/>
      <c r="DG66" s="359"/>
      <c r="DH66" s="359"/>
      <c r="DI66" s="359"/>
      <c r="DJ66" s="359"/>
      <c r="DK66" s="359"/>
      <c r="DL66" s="359"/>
      <c r="DM66" s="359"/>
      <c r="DN66" s="408"/>
      <c r="DO66" s="408"/>
      <c r="DP66" s="408"/>
      <c r="DQ66" s="408"/>
      <c r="DR66" s="408"/>
      <c r="DS66" s="408"/>
      <c r="DT66" s="408"/>
      <c r="DU66" s="408"/>
      <c r="DV66" s="408"/>
      <c r="DW66" s="408"/>
      <c r="DX66" s="408"/>
      <c r="DY66" s="408"/>
      <c r="DZ66" s="408"/>
      <c r="EA66" s="359"/>
      <c r="EB66" s="359"/>
      <c r="EC66" s="357"/>
      <c r="ED66" s="359"/>
      <c r="EE66" s="359"/>
      <c r="EF66" s="359"/>
      <c r="EG66" s="359"/>
      <c r="EH66" s="359"/>
      <c r="EI66" s="359"/>
      <c r="EJ66" s="359"/>
      <c r="EK66" s="359"/>
      <c r="EL66" s="359"/>
      <c r="EM66" s="359"/>
      <c r="EN66" s="359"/>
      <c r="EO66" s="359"/>
      <c r="EP66" s="360"/>
      <c r="EQ66" s="360"/>
      <c r="ER66" s="360"/>
      <c r="ES66" s="360"/>
      <c r="ET66" s="360"/>
      <c r="EU66" s="360"/>
      <c r="EV66" s="360"/>
      <c r="EW66" s="361"/>
      <c r="EX66" s="360"/>
      <c r="EY66" s="360"/>
      <c r="EZ66" s="360"/>
      <c r="FA66" s="360"/>
      <c r="FB66" s="360"/>
      <c r="FC66" s="360"/>
      <c r="FD66" s="360"/>
      <c r="FE66" s="360"/>
      <c r="FF66" s="360"/>
      <c r="FG66" s="360"/>
      <c r="FH66" s="352"/>
      <c r="FI66" s="352"/>
      <c r="FJ66" s="352"/>
      <c r="FK66" s="352"/>
      <c r="FL66" s="352"/>
      <c r="FM66" s="352"/>
      <c r="FN66" s="352"/>
      <c r="FO66" s="345"/>
      <c r="FP66" s="345"/>
      <c r="FQ66" s="345"/>
      <c r="FR66" s="345"/>
      <c r="FS66" s="345"/>
      <c r="FT66" s="112"/>
      <c r="FU66" s="112"/>
      <c r="FV66" s="112"/>
      <c r="FW66" s="112"/>
      <c r="FX66" s="112"/>
      <c r="FY66" s="112"/>
      <c r="FZ66" s="112"/>
      <c r="GA66" s="112"/>
      <c r="GB66" s="112"/>
      <c r="GC66" s="112"/>
      <c r="GD66" s="112"/>
      <c r="GE66" s="112"/>
      <c r="GF66" s="112"/>
      <c r="GG66" s="112"/>
      <c r="GH66" s="112"/>
      <c r="GI66" s="112"/>
      <c r="GJ66" s="112"/>
      <c r="GK66" s="112"/>
      <c r="GL66" s="112"/>
      <c r="GM66" s="112"/>
      <c r="GN66" s="112"/>
      <c r="GO66" s="112"/>
      <c r="GP66" s="112"/>
      <c r="GQ66" s="112"/>
      <c r="GR66" s="112"/>
      <c r="GS66" s="112"/>
      <c r="GT66" s="112"/>
      <c r="GU66" s="112"/>
      <c r="GV66" s="112"/>
      <c r="GW66" s="112"/>
      <c r="GX66" s="112"/>
      <c r="GY66" s="112"/>
      <c r="GZ66" s="112"/>
      <c r="HA66" s="112"/>
      <c r="HB66" s="112"/>
      <c r="HC66" s="112"/>
      <c r="HD66" s="112"/>
      <c r="HE66" s="112"/>
      <c r="HF66" s="112"/>
      <c r="HG66" s="112"/>
      <c r="HH66" s="112"/>
      <c r="HI66" s="112"/>
      <c r="HJ66" s="112"/>
      <c r="HK66" s="112"/>
      <c r="HL66" s="112"/>
      <c r="HM66" s="112"/>
      <c r="HN66" s="112"/>
      <c r="HO66" s="112"/>
      <c r="HP66" s="112"/>
      <c r="HQ66" s="112"/>
      <c r="HR66" s="112"/>
      <c r="HS66" s="112"/>
      <c r="HT66" s="112"/>
      <c r="HU66" s="112"/>
      <c r="HV66" s="112"/>
      <c r="HW66" s="112"/>
      <c r="HX66" s="112"/>
      <c r="HY66" s="112"/>
      <c r="HZ66" s="112"/>
      <c r="IA66" s="112"/>
      <c r="IB66" s="111"/>
      <c r="IC66" s="111"/>
      <c r="ID66" s="111"/>
      <c r="IE66" s="111"/>
      <c r="IF66" s="112"/>
      <c r="IG66" s="112"/>
      <c r="IH66" s="112"/>
      <c r="II66" s="112"/>
      <c r="IJ66" s="112"/>
      <c r="IK66" s="112"/>
      <c r="IL66" s="112"/>
      <c r="IM66" s="111"/>
      <c r="IN66" s="114"/>
      <c r="IO66" s="114"/>
      <c r="IP66" s="111"/>
      <c r="IQ66" s="111"/>
      <c r="IR66" s="111"/>
      <c r="IS66" s="111"/>
      <c r="IT66" s="112"/>
      <c r="IU66" s="112"/>
      <c r="IV66" s="112"/>
      <c r="IW66" s="112"/>
      <c r="IX66" s="112"/>
      <c r="IY66" s="112"/>
      <c r="IZ66" s="112"/>
      <c r="JA66" s="112"/>
      <c r="JB66" s="112"/>
      <c r="JC66" s="112"/>
      <c r="JD66" s="112"/>
      <c r="JE66" s="111"/>
      <c r="JF66" s="112"/>
      <c r="JG66" s="112"/>
      <c r="JH66" s="112"/>
      <c r="JI66" s="112"/>
      <c r="JJ66" s="111"/>
      <c r="JK66" s="112"/>
      <c r="JL66" s="112"/>
      <c r="JM66" s="112"/>
      <c r="JN66" s="112"/>
      <c r="JO66" s="112"/>
      <c r="JP66" s="112"/>
      <c r="JQ66" s="112"/>
      <c r="JR66" s="112"/>
      <c r="JS66" s="111"/>
      <c r="JT66" s="112"/>
      <c r="JU66" s="111"/>
      <c r="JV66" s="112"/>
      <c r="JW66" s="111"/>
      <c r="JX66" s="112"/>
      <c r="JY66" s="111"/>
      <c r="JZ66" s="112"/>
      <c r="KA66" s="111"/>
    </row>
    <row r="67" spans="1:287" s="110" customFormat="1" ht="15" hidden="1" customHeight="1" x14ac:dyDescent="0.25">
      <c r="A67" s="49"/>
      <c r="B67" s="34"/>
      <c r="C67" s="35"/>
      <c r="D67" s="35"/>
      <c r="E67" s="35"/>
      <c r="F67" s="35"/>
      <c r="G67" s="35"/>
      <c r="H67" s="35"/>
      <c r="I67" s="36"/>
      <c r="J67" s="37"/>
      <c r="K67" s="37"/>
      <c r="L67" s="38"/>
      <c r="M67" s="39"/>
      <c r="N67" s="40"/>
      <c r="O67" s="41"/>
      <c r="P67" s="27"/>
      <c r="Q67" s="27"/>
      <c r="R67" s="13"/>
      <c r="S67" s="13"/>
      <c r="T67" s="13"/>
      <c r="U67" s="13"/>
      <c r="V67" s="27"/>
      <c r="W67" s="42"/>
      <c r="X67" s="42"/>
      <c r="Y67" s="13"/>
      <c r="Z67" s="13"/>
      <c r="AA67" s="107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9"/>
      <c r="AX67" s="100"/>
      <c r="AY67" s="130"/>
      <c r="AZ67" s="346"/>
      <c r="BA67" s="343"/>
      <c r="BB67" s="389"/>
      <c r="BC67" s="395"/>
      <c r="BD67" s="395"/>
      <c r="BE67" s="395"/>
      <c r="BF67" s="395"/>
      <c r="BG67" s="395"/>
      <c r="BH67" s="395"/>
      <c r="BI67" s="343"/>
      <c r="BJ67" s="357"/>
      <c r="BK67" s="357"/>
      <c r="BL67" s="357"/>
      <c r="BM67" s="357"/>
      <c r="BN67" s="357"/>
      <c r="BO67" s="357"/>
      <c r="BP67" s="357"/>
      <c r="BQ67" s="357"/>
      <c r="BR67" s="357"/>
      <c r="BS67" s="357"/>
      <c r="BT67" s="357"/>
      <c r="BU67" s="357"/>
      <c r="BV67" s="357"/>
      <c r="BW67" s="357"/>
      <c r="BX67" s="357"/>
      <c r="BY67" s="357"/>
      <c r="BZ67" s="357"/>
      <c r="CA67" s="357"/>
      <c r="CB67" s="357"/>
      <c r="CC67" s="357"/>
      <c r="CD67" s="357"/>
      <c r="CE67" s="357"/>
      <c r="CF67" s="357"/>
      <c r="CG67" s="357"/>
      <c r="CH67" s="357"/>
      <c r="CI67" s="357"/>
      <c r="CJ67" s="357"/>
      <c r="CK67" s="357"/>
      <c r="CL67" s="357"/>
      <c r="CM67" s="357"/>
      <c r="CN67" s="357"/>
      <c r="CO67" s="357"/>
      <c r="CP67" s="357"/>
      <c r="CQ67" s="357"/>
      <c r="CR67" s="357"/>
      <c r="CS67" s="357"/>
      <c r="CT67" s="359"/>
      <c r="CU67" s="359"/>
      <c r="CV67" s="359"/>
      <c r="CW67" s="359"/>
      <c r="CX67" s="359"/>
      <c r="CY67" s="359"/>
      <c r="CZ67" s="359"/>
      <c r="DA67" s="359"/>
      <c r="DB67" s="359"/>
      <c r="DC67" s="359"/>
      <c r="DD67" s="359"/>
      <c r="DE67" s="359"/>
      <c r="DF67" s="359"/>
      <c r="DG67" s="359"/>
      <c r="DH67" s="359"/>
      <c r="DI67" s="359"/>
      <c r="DJ67" s="359"/>
      <c r="DK67" s="359"/>
      <c r="DL67" s="359"/>
      <c r="DM67" s="359"/>
      <c r="DN67" s="408"/>
      <c r="DO67" s="408"/>
      <c r="DP67" s="408"/>
      <c r="DQ67" s="408"/>
      <c r="DR67" s="408"/>
      <c r="DS67" s="408"/>
      <c r="DT67" s="408"/>
      <c r="DU67" s="408"/>
      <c r="DV67" s="408"/>
      <c r="DW67" s="408"/>
      <c r="DX67" s="408"/>
      <c r="DY67" s="408"/>
      <c r="DZ67" s="408"/>
      <c r="EA67" s="359"/>
      <c r="EB67" s="359"/>
      <c r="EC67" s="357"/>
      <c r="ED67" s="359"/>
      <c r="EE67" s="359"/>
      <c r="EF67" s="359"/>
      <c r="EG67" s="359"/>
      <c r="EH67" s="359"/>
      <c r="EI67" s="359"/>
      <c r="EJ67" s="359"/>
      <c r="EK67" s="359"/>
      <c r="EL67" s="359"/>
      <c r="EM67" s="359"/>
      <c r="EN67" s="359"/>
      <c r="EO67" s="359"/>
      <c r="EP67" s="360"/>
      <c r="EQ67" s="360"/>
      <c r="ER67" s="360"/>
      <c r="ES67" s="360"/>
      <c r="ET67" s="360"/>
      <c r="EU67" s="360"/>
      <c r="EV67" s="360"/>
      <c r="EW67" s="361"/>
      <c r="EX67" s="360"/>
      <c r="EY67" s="360"/>
      <c r="EZ67" s="360"/>
      <c r="FA67" s="360"/>
      <c r="FB67" s="387"/>
      <c r="FC67" s="360"/>
      <c r="FD67" s="360"/>
      <c r="FE67" s="360"/>
      <c r="FF67" s="360"/>
      <c r="FG67" s="360"/>
      <c r="FH67" s="352"/>
      <c r="FI67" s="352"/>
      <c r="FJ67" s="352"/>
      <c r="FK67" s="352"/>
      <c r="FL67" s="352"/>
      <c r="FM67" s="352"/>
      <c r="FN67" s="352"/>
      <c r="FO67" s="345"/>
      <c r="FP67" s="345"/>
      <c r="FQ67" s="345"/>
      <c r="FR67" s="345"/>
      <c r="FS67" s="345"/>
      <c r="FT67" s="112"/>
      <c r="FU67" s="112"/>
      <c r="FV67" s="112"/>
      <c r="FW67" s="112"/>
      <c r="FX67" s="112"/>
      <c r="FY67" s="112"/>
      <c r="FZ67" s="112"/>
      <c r="GA67" s="112"/>
      <c r="GB67" s="112"/>
      <c r="GC67" s="112"/>
      <c r="GD67" s="112"/>
      <c r="GE67" s="112"/>
      <c r="GF67" s="112"/>
      <c r="GG67" s="112"/>
      <c r="GH67" s="112"/>
      <c r="GI67" s="112"/>
      <c r="GJ67" s="112"/>
      <c r="GK67" s="112"/>
      <c r="GL67" s="112"/>
      <c r="GM67" s="112"/>
      <c r="GN67" s="112"/>
      <c r="GO67" s="112"/>
      <c r="GP67" s="112"/>
      <c r="GQ67" s="112"/>
      <c r="GR67" s="112"/>
      <c r="GS67" s="112"/>
      <c r="GT67" s="112"/>
      <c r="GU67" s="112"/>
      <c r="GV67" s="112"/>
      <c r="GW67" s="112"/>
      <c r="GX67" s="112"/>
      <c r="GY67" s="112"/>
      <c r="GZ67" s="112"/>
      <c r="HA67" s="112"/>
      <c r="HB67" s="112"/>
      <c r="HC67" s="112"/>
      <c r="HD67" s="112"/>
      <c r="HE67" s="112"/>
      <c r="HF67" s="112"/>
      <c r="HG67" s="112"/>
      <c r="HH67" s="112"/>
      <c r="HI67" s="112"/>
      <c r="HJ67" s="112"/>
      <c r="HK67" s="112"/>
      <c r="HL67" s="112"/>
      <c r="HM67" s="112"/>
      <c r="HN67" s="112"/>
      <c r="HO67" s="112"/>
      <c r="HP67" s="112"/>
      <c r="HQ67" s="112"/>
      <c r="HR67" s="112"/>
      <c r="HS67" s="112"/>
      <c r="HT67" s="112"/>
      <c r="HU67" s="112"/>
      <c r="HV67" s="112"/>
      <c r="HW67" s="112"/>
      <c r="HX67" s="112"/>
      <c r="HY67" s="112"/>
      <c r="HZ67" s="112"/>
      <c r="IA67" s="112"/>
      <c r="IB67" s="111"/>
      <c r="IC67" s="111"/>
      <c r="ID67" s="111"/>
      <c r="IE67" s="111"/>
      <c r="IF67" s="112"/>
      <c r="IG67" s="112"/>
      <c r="IH67" s="112"/>
      <c r="II67" s="112"/>
      <c r="IJ67" s="112"/>
      <c r="IK67" s="112"/>
      <c r="IL67" s="112"/>
      <c r="IM67" s="111"/>
      <c r="IN67" s="114"/>
      <c r="IO67" s="114"/>
      <c r="IP67" s="111"/>
      <c r="IQ67" s="111"/>
      <c r="IR67" s="111"/>
      <c r="IS67" s="111"/>
      <c r="IT67" s="112"/>
      <c r="IU67" s="112"/>
      <c r="IV67" s="112"/>
      <c r="IW67" s="112"/>
      <c r="IX67" s="112"/>
      <c r="IY67" s="112"/>
      <c r="IZ67" s="112"/>
      <c r="JA67" s="112"/>
      <c r="JB67" s="112"/>
      <c r="JC67" s="112"/>
      <c r="JD67" s="112"/>
      <c r="JE67" s="111"/>
      <c r="JF67" s="112"/>
      <c r="JG67" s="112"/>
      <c r="JH67" s="112"/>
      <c r="JI67" s="112"/>
      <c r="JJ67" s="111"/>
      <c r="JK67" s="112"/>
      <c r="JL67" s="112"/>
      <c r="JM67" s="112"/>
      <c r="JN67" s="112"/>
      <c r="JO67" s="112"/>
      <c r="JP67" s="112"/>
      <c r="JQ67" s="112"/>
      <c r="JR67" s="112"/>
      <c r="JS67" s="111"/>
      <c r="JT67" s="112"/>
      <c r="JU67" s="111"/>
      <c r="JV67" s="112"/>
      <c r="JW67" s="111"/>
      <c r="JX67" s="112"/>
      <c r="JY67" s="111"/>
      <c r="JZ67" s="112"/>
      <c r="KA67" s="111"/>
    </row>
    <row r="68" spans="1:287" s="110" customFormat="1" ht="15" hidden="1" customHeight="1" x14ac:dyDescent="0.25">
      <c r="A68" s="50"/>
      <c r="B68" s="34"/>
      <c r="C68" s="35"/>
      <c r="D68" s="35"/>
      <c r="E68" s="35"/>
      <c r="F68" s="35"/>
      <c r="G68" s="35"/>
      <c r="H68" s="35"/>
      <c r="I68" s="43"/>
      <c r="J68" s="44"/>
      <c r="K68" s="44"/>
      <c r="L68" s="38"/>
      <c r="M68" s="45"/>
      <c r="N68" s="40"/>
      <c r="O68" s="41"/>
      <c r="P68" s="46"/>
      <c r="Q68" s="46"/>
      <c r="R68" s="14"/>
      <c r="S68" s="14"/>
      <c r="T68" s="14"/>
      <c r="U68" s="14"/>
      <c r="V68" s="46"/>
      <c r="W68" s="42"/>
      <c r="X68" s="42"/>
      <c r="Y68" s="14"/>
      <c r="Z68" s="14"/>
      <c r="AA68" s="106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9"/>
      <c r="AX68" s="100"/>
      <c r="AY68" s="130"/>
      <c r="AZ68" s="346"/>
      <c r="BA68" s="343"/>
      <c r="BB68" s="389"/>
      <c r="BC68" s="395"/>
      <c r="BD68" s="395"/>
      <c r="BE68" s="395"/>
      <c r="BF68" s="395"/>
      <c r="BG68" s="395"/>
      <c r="BH68" s="395"/>
      <c r="BI68" s="343"/>
      <c r="BJ68" s="357"/>
      <c r="BK68" s="357"/>
      <c r="BL68" s="357"/>
      <c r="BM68" s="357"/>
      <c r="BN68" s="357"/>
      <c r="BO68" s="357"/>
      <c r="BP68" s="357"/>
      <c r="BQ68" s="357"/>
      <c r="BR68" s="357"/>
      <c r="BS68" s="357"/>
      <c r="BT68" s="357"/>
      <c r="BU68" s="357"/>
      <c r="BV68" s="357"/>
      <c r="BW68" s="357"/>
      <c r="BX68" s="357"/>
      <c r="BY68" s="357"/>
      <c r="BZ68" s="357"/>
      <c r="CA68" s="357"/>
      <c r="CB68" s="357"/>
      <c r="CC68" s="357"/>
      <c r="CD68" s="357"/>
      <c r="CE68" s="357"/>
      <c r="CF68" s="357"/>
      <c r="CG68" s="357"/>
      <c r="CH68" s="357"/>
      <c r="CI68" s="357"/>
      <c r="CJ68" s="357"/>
      <c r="CK68" s="357"/>
      <c r="CL68" s="357"/>
      <c r="CM68" s="357"/>
      <c r="CN68" s="357"/>
      <c r="CO68" s="357"/>
      <c r="CP68" s="357"/>
      <c r="CQ68" s="357"/>
      <c r="CR68" s="357"/>
      <c r="CS68" s="357"/>
      <c r="CT68" s="359"/>
      <c r="CU68" s="359"/>
      <c r="CV68" s="359"/>
      <c r="CW68" s="359"/>
      <c r="CX68" s="359"/>
      <c r="CY68" s="359"/>
      <c r="CZ68" s="359"/>
      <c r="DA68" s="359"/>
      <c r="DB68" s="359"/>
      <c r="DC68" s="359"/>
      <c r="DD68" s="359"/>
      <c r="DE68" s="359"/>
      <c r="DF68" s="359"/>
      <c r="DG68" s="359"/>
      <c r="DH68" s="359"/>
      <c r="DI68" s="359"/>
      <c r="DJ68" s="359"/>
      <c r="DK68" s="359"/>
      <c r="DL68" s="359"/>
      <c r="DM68" s="359"/>
      <c r="DN68" s="408"/>
      <c r="DO68" s="408"/>
      <c r="DP68" s="408"/>
      <c r="DQ68" s="408"/>
      <c r="DR68" s="408"/>
      <c r="DS68" s="408"/>
      <c r="DT68" s="408"/>
      <c r="DU68" s="408"/>
      <c r="DV68" s="408"/>
      <c r="DW68" s="408"/>
      <c r="DX68" s="408"/>
      <c r="DY68" s="408"/>
      <c r="DZ68" s="408"/>
      <c r="EA68" s="359"/>
      <c r="EB68" s="359"/>
      <c r="EC68" s="359"/>
      <c r="ED68" s="359"/>
      <c r="EE68" s="359"/>
      <c r="EF68" s="359"/>
      <c r="EG68" s="359"/>
      <c r="EH68" s="359"/>
      <c r="EI68" s="359"/>
      <c r="EJ68" s="359"/>
      <c r="EK68" s="359"/>
      <c r="EL68" s="359"/>
      <c r="EM68" s="359"/>
      <c r="EN68" s="359"/>
      <c r="EO68" s="359"/>
      <c r="EP68" s="360"/>
      <c r="EQ68" s="360"/>
      <c r="ER68" s="360"/>
      <c r="ES68" s="360"/>
      <c r="ET68" s="360"/>
      <c r="EU68" s="360"/>
      <c r="EV68" s="360"/>
      <c r="EW68" s="361"/>
      <c r="EX68" s="360"/>
      <c r="EY68" s="360"/>
      <c r="EZ68" s="360"/>
      <c r="FA68" s="360"/>
      <c r="FB68" s="387"/>
      <c r="FC68" s="360"/>
      <c r="FD68" s="360"/>
      <c r="FE68" s="360"/>
      <c r="FF68" s="360"/>
      <c r="FG68" s="360"/>
      <c r="FH68" s="352"/>
      <c r="FI68" s="352"/>
      <c r="FJ68" s="352"/>
      <c r="FK68" s="352"/>
      <c r="FL68" s="352"/>
      <c r="FM68" s="352"/>
      <c r="FN68" s="352"/>
      <c r="FO68" s="345"/>
      <c r="FP68" s="345"/>
      <c r="FQ68" s="345"/>
      <c r="FR68" s="345"/>
      <c r="FS68" s="345"/>
      <c r="FT68" s="112"/>
      <c r="FU68" s="112"/>
      <c r="FV68" s="112"/>
      <c r="FW68" s="112"/>
      <c r="FX68" s="112"/>
      <c r="FY68" s="112"/>
      <c r="FZ68" s="112"/>
      <c r="GA68" s="112"/>
      <c r="GB68" s="112"/>
      <c r="GC68" s="112"/>
      <c r="GD68" s="112"/>
      <c r="GE68" s="112"/>
      <c r="GF68" s="112"/>
      <c r="GG68" s="112"/>
      <c r="GH68" s="112"/>
      <c r="GI68" s="112"/>
      <c r="GJ68" s="112"/>
      <c r="GK68" s="112"/>
      <c r="GL68" s="112"/>
      <c r="GM68" s="112"/>
      <c r="GN68" s="112"/>
      <c r="GO68" s="112"/>
      <c r="GP68" s="112"/>
      <c r="GQ68" s="112"/>
      <c r="GR68" s="112"/>
      <c r="GS68" s="112"/>
      <c r="GT68" s="112"/>
      <c r="GU68" s="112"/>
      <c r="GV68" s="112"/>
      <c r="GW68" s="112"/>
      <c r="GX68" s="112"/>
      <c r="GY68" s="112"/>
      <c r="GZ68" s="112"/>
      <c r="HA68" s="112"/>
      <c r="HB68" s="112"/>
      <c r="HC68" s="112"/>
      <c r="HD68" s="112"/>
      <c r="HE68" s="112"/>
      <c r="HF68" s="112"/>
      <c r="HG68" s="112"/>
      <c r="HH68" s="112"/>
      <c r="HI68" s="112"/>
      <c r="HJ68" s="112"/>
      <c r="HK68" s="112"/>
      <c r="HL68" s="112"/>
      <c r="HM68" s="112"/>
      <c r="HN68" s="112"/>
      <c r="HO68" s="112"/>
      <c r="HP68" s="112"/>
      <c r="HQ68" s="112"/>
      <c r="HR68" s="112"/>
      <c r="HS68" s="112"/>
      <c r="HT68" s="112"/>
      <c r="HU68" s="112"/>
      <c r="HV68" s="112"/>
      <c r="HW68" s="112"/>
      <c r="HX68" s="112"/>
      <c r="HY68" s="112"/>
      <c r="HZ68" s="112"/>
      <c r="IA68" s="112"/>
      <c r="IB68" s="111"/>
      <c r="IC68" s="111"/>
      <c r="ID68" s="111"/>
      <c r="IE68" s="111"/>
      <c r="IF68" s="112"/>
      <c r="IG68" s="112"/>
      <c r="IH68" s="112"/>
      <c r="II68" s="112"/>
      <c r="IJ68" s="112"/>
      <c r="IK68" s="112"/>
      <c r="IL68" s="112"/>
      <c r="IM68" s="111"/>
      <c r="IN68" s="114"/>
      <c r="IO68" s="114"/>
      <c r="IP68" s="111"/>
      <c r="IQ68" s="111"/>
      <c r="IR68" s="111"/>
      <c r="IS68" s="111"/>
      <c r="IT68" s="112"/>
      <c r="IU68" s="112"/>
      <c r="IV68" s="112"/>
      <c r="IW68" s="112"/>
      <c r="IX68" s="112"/>
      <c r="IY68" s="112"/>
      <c r="IZ68" s="112"/>
      <c r="JA68" s="112"/>
      <c r="JB68" s="112"/>
      <c r="JC68" s="112"/>
      <c r="JD68" s="112"/>
      <c r="JE68" s="111"/>
      <c r="JF68" s="112"/>
      <c r="JG68" s="112"/>
      <c r="JH68" s="112"/>
      <c r="JI68" s="112"/>
      <c r="JJ68" s="111"/>
      <c r="JK68" s="112"/>
      <c r="JL68" s="112"/>
      <c r="JM68" s="112"/>
      <c r="JN68" s="112"/>
      <c r="JO68" s="112"/>
      <c r="JP68" s="112"/>
      <c r="JQ68" s="112"/>
      <c r="JR68" s="112"/>
      <c r="JS68" s="111"/>
      <c r="JT68" s="112"/>
      <c r="JU68" s="111"/>
      <c r="JV68" s="112"/>
      <c r="JW68" s="111"/>
      <c r="JX68" s="112"/>
      <c r="JY68" s="111"/>
      <c r="JZ68" s="112"/>
      <c r="KA68" s="111"/>
    </row>
    <row r="69" spans="1:287" s="110" customFormat="1" ht="15" hidden="1" customHeight="1" x14ac:dyDescent="0.25">
      <c r="A69" s="50"/>
      <c r="B69" s="35"/>
      <c r="C69" s="35"/>
      <c r="D69" s="35"/>
      <c r="E69" s="35"/>
      <c r="F69" s="35"/>
      <c r="G69" s="35"/>
      <c r="H69" s="35"/>
      <c r="I69" s="43"/>
      <c r="J69" s="37"/>
      <c r="K69" s="37"/>
      <c r="L69" s="44"/>
      <c r="M69" s="37"/>
      <c r="N69" s="40"/>
      <c r="O69" s="41"/>
      <c r="P69" s="27"/>
      <c r="Q69" s="27"/>
      <c r="R69" s="14"/>
      <c r="S69" s="14"/>
      <c r="T69" s="14"/>
      <c r="U69" s="14"/>
      <c r="V69" s="27"/>
      <c r="W69" s="42"/>
      <c r="X69" s="42"/>
      <c r="Y69" s="14"/>
      <c r="Z69" s="14"/>
      <c r="AA69" s="106"/>
      <c r="AB69" s="100"/>
      <c r="AC69" s="100"/>
      <c r="AD69" s="100"/>
      <c r="AE69" s="100"/>
      <c r="AF69" s="100"/>
      <c r="AG69" s="100"/>
      <c r="AH69" s="100"/>
      <c r="AI69" s="100"/>
      <c r="AJ69" s="100"/>
      <c r="AK69" s="100"/>
      <c r="AL69" s="100"/>
      <c r="AM69" s="100"/>
      <c r="AN69" s="100"/>
      <c r="AO69" s="100"/>
      <c r="AP69" s="100"/>
      <c r="AQ69" s="100"/>
      <c r="AR69" s="100"/>
      <c r="AS69" s="100"/>
      <c r="AT69" s="100"/>
      <c r="AU69" s="100"/>
      <c r="AV69" s="100"/>
      <c r="AW69" s="109"/>
      <c r="AX69" s="100"/>
      <c r="AY69" s="130"/>
      <c r="AZ69" s="346"/>
      <c r="BA69" s="343"/>
      <c r="BB69" s="389"/>
      <c r="BC69" s="395"/>
      <c r="BD69" s="395"/>
      <c r="BE69" s="395"/>
      <c r="BF69" s="395"/>
      <c r="BG69" s="395"/>
      <c r="BH69" s="395"/>
      <c r="BI69" s="343"/>
      <c r="BJ69" s="357"/>
      <c r="BK69" s="357"/>
      <c r="BL69" s="357"/>
      <c r="BM69" s="357"/>
      <c r="BN69" s="357"/>
      <c r="BO69" s="357"/>
      <c r="BP69" s="357"/>
      <c r="BQ69" s="357"/>
      <c r="BR69" s="357"/>
      <c r="BS69" s="357"/>
      <c r="BT69" s="357"/>
      <c r="BU69" s="357"/>
      <c r="BV69" s="357"/>
      <c r="BW69" s="357"/>
      <c r="BX69" s="357"/>
      <c r="BY69" s="357"/>
      <c r="BZ69" s="357"/>
      <c r="CA69" s="357"/>
      <c r="CB69" s="357"/>
      <c r="CC69" s="357"/>
      <c r="CD69" s="357"/>
      <c r="CE69" s="357"/>
      <c r="CF69" s="357"/>
      <c r="CG69" s="357"/>
      <c r="CH69" s="357"/>
      <c r="CI69" s="357"/>
      <c r="CJ69" s="357"/>
      <c r="CK69" s="357"/>
      <c r="CL69" s="357"/>
      <c r="CM69" s="357"/>
      <c r="CN69" s="357"/>
      <c r="CO69" s="357"/>
      <c r="CP69" s="357"/>
      <c r="CQ69" s="357"/>
      <c r="CR69" s="357"/>
      <c r="CS69" s="357"/>
      <c r="CT69" s="359"/>
      <c r="CU69" s="359"/>
      <c r="CV69" s="359"/>
      <c r="CW69" s="359"/>
      <c r="CX69" s="359"/>
      <c r="CY69" s="359"/>
      <c r="CZ69" s="359"/>
      <c r="DA69" s="359"/>
      <c r="DB69" s="359"/>
      <c r="DC69" s="359"/>
      <c r="DD69" s="359"/>
      <c r="DE69" s="359"/>
      <c r="DF69" s="359"/>
      <c r="DG69" s="359"/>
      <c r="DH69" s="359"/>
      <c r="DI69" s="359"/>
      <c r="DJ69" s="359"/>
      <c r="DK69" s="359"/>
      <c r="DL69" s="359"/>
      <c r="DM69" s="359"/>
      <c r="DN69" s="408"/>
      <c r="DO69" s="408"/>
      <c r="DP69" s="408"/>
      <c r="DQ69" s="408"/>
      <c r="DR69" s="408"/>
      <c r="DS69" s="408"/>
      <c r="DT69" s="408"/>
      <c r="DU69" s="408"/>
      <c r="DV69" s="408"/>
      <c r="DW69" s="408"/>
      <c r="DX69" s="408"/>
      <c r="DY69" s="408"/>
      <c r="DZ69" s="408"/>
      <c r="EA69" s="359"/>
      <c r="EB69" s="359"/>
      <c r="EC69" s="359"/>
      <c r="ED69" s="359"/>
      <c r="EE69" s="359"/>
      <c r="EF69" s="359"/>
      <c r="EG69" s="359"/>
      <c r="EH69" s="359"/>
      <c r="EI69" s="359"/>
      <c r="EJ69" s="359"/>
      <c r="EK69" s="359"/>
      <c r="EL69" s="359"/>
      <c r="EM69" s="359"/>
      <c r="EN69" s="359"/>
      <c r="EO69" s="359"/>
      <c r="EP69" s="360"/>
      <c r="EQ69" s="360"/>
      <c r="ER69" s="360"/>
      <c r="ES69" s="360"/>
      <c r="ET69" s="360"/>
      <c r="EU69" s="360"/>
      <c r="EV69" s="360"/>
      <c r="EW69" s="361"/>
      <c r="EX69" s="360"/>
      <c r="EY69" s="360"/>
      <c r="EZ69" s="360"/>
      <c r="FA69" s="360"/>
      <c r="FB69" s="387"/>
      <c r="FC69" s="360"/>
      <c r="FD69" s="360"/>
      <c r="FE69" s="360"/>
      <c r="FF69" s="360"/>
      <c r="FG69" s="360"/>
      <c r="FH69" s="352"/>
      <c r="FI69" s="352"/>
      <c r="FJ69" s="352"/>
      <c r="FK69" s="352"/>
      <c r="FL69" s="352"/>
      <c r="FM69" s="352"/>
      <c r="FN69" s="352"/>
      <c r="FO69" s="345"/>
      <c r="FP69" s="345"/>
      <c r="FQ69" s="345"/>
      <c r="FR69" s="345"/>
      <c r="FS69" s="345"/>
      <c r="FT69" s="112"/>
      <c r="FU69" s="112"/>
      <c r="FV69" s="112"/>
      <c r="FW69" s="112"/>
      <c r="FX69" s="112"/>
      <c r="FY69" s="112"/>
      <c r="FZ69" s="112"/>
      <c r="GA69" s="112"/>
      <c r="GB69" s="112"/>
      <c r="GC69" s="112"/>
      <c r="GD69" s="112"/>
      <c r="GE69" s="112"/>
      <c r="GF69" s="112"/>
      <c r="GG69" s="112"/>
      <c r="GH69" s="112"/>
      <c r="GI69" s="112"/>
      <c r="GJ69" s="112"/>
      <c r="GK69" s="112"/>
      <c r="GL69" s="112"/>
      <c r="GM69" s="112"/>
      <c r="GN69" s="119"/>
      <c r="GO69" s="119"/>
      <c r="GP69" s="119"/>
      <c r="GQ69" s="119"/>
      <c r="GR69" s="119"/>
      <c r="GS69" s="112"/>
      <c r="GT69" s="119"/>
      <c r="GU69" s="119"/>
      <c r="GV69" s="119"/>
      <c r="GW69" s="119"/>
      <c r="GX69" s="119"/>
      <c r="GY69" s="119"/>
      <c r="GZ69" s="119"/>
      <c r="HA69" s="119"/>
      <c r="HB69" s="119"/>
      <c r="HC69" s="119"/>
      <c r="HD69" s="119"/>
      <c r="HE69" s="112"/>
      <c r="HF69" s="112"/>
      <c r="HG69" s="112"/>
      <c r="HH69" s="112"/>
      <c r="HI69" s="112"/>
      <c r="HJ69" s="112"/>
      <c r="HK69" s="112"/>
      <c r="HL69" s="112"/>
      <c r="HM69" s="112"/>
      <c r="HN69" s="112"/>
      <c r="HO69" s="112"/>
      <c r="HP69" s="112"/>
      <c r="HQ69" s="112"/>
      <c r="HR69" s="112"/>
      <c r="HS69" s="112"/>
      <c r="HT69" s="112"/>
      <c r="HU69" s="112"/>
      <c r="HV69" s="112"/>
      <c r="HW69" s="112"/>
      <c r="HX69" s="112"/>
      <c r="HY69" s="112"/>
      <c r="HZ69" s="112"/>
      <c r="IA69" s="112"/>
      <c r="IB69" s="111"/>
      <c r="IC69" s="111"/>
      <c r="ID69" s="111"/>
      <c r="IE69" s="111"/>
      <c r="IF69" s="112"/>
      <c r="IG69" s="112"/>
      <c r="IH69" s="112"/>
      <c r="II69" s="112"/>
      <c r="IJ69" s="112"/>
      <c r="IK69" s="112"/>
      <c r="IL69" s="112"/>
      <c r="IM69" s="111"/>
      <c r="IN69" s="114"/>
      <c r="IO69" s="114"/>
      <c r="IP69" s="111"/>
      <c r="IQ69" s="111"/>
      <c r="IR69" s="111"/>
      <c r="IS69" s="111"/>
      <c r="IT69" s="112"/>
      <c r="IU69" s="112"/>
      <c r="IV69" s="112"/>
      <c r="IW69" s="112"/>
      <c r="IX69" s="112"/>
      <c r="IY69" s="112"/>
      <c r="IZ69" s="112"/>
      <c r="JA69" s="112"/>
      <c r="JB69" s="112"/>
      <c r="JC69" s="112"/>
      <c r="JD69" s="112"/>
      <c r="JE69" s="111"/>
      <c r="JF69" s="112"/>
      <c r="JG69" s="112"/>
      <c r="JH69" s="112"/>
      <c r="JI69" s="112"/>
      <c r="JJ69" s="111"/>
      <c r="JK69" s="112"/>
      <c r="JL69" s="112"/>
      <c r="JM69" s="112"/>
      <c r="JN69" s="112"/>
      <c r="JO69" s="112"/>
      <c r="JP69" s="112"/>
      <c r="JQ69" s="112"/>
      <c r="JR69" s="112"/>
      <c r="JS69" s="111"/>
      <c r="JT69" s="112"/>
      <c r="JU69" s="111"/>
      <c r="JV69" s="112"/>
      <c r="JW69" s="111"/>
      <c r="JX69" s="112"/>
      <c r="JY69" s="111"/>
      <c r="JZ69" s="112"/>
      <c r="KA69" s="111"/>
    </row>
    <row r="70" spans="1:287" s="110" customFormat="1" ht="15" hidden="1" customHeight="1" x14ac:dyDescent="0.25">
      <c r="A70" s="50"/>
      <c r="B70" s="34"/>
      <c r="C70" s="35"/>
      <c r="D70" s="35"/>
      <c r="E70" s="35"/>
      <c r="F70" s="35"/>
      <c r="G70" s="35"/>
      <c r="H70" s="35"/>
      <c r="I70" s="43"/>
      <c r="J70" s="37"/>
      <c r="K70" s="37"/>
      <c r="L70" s="44"/>
      <c r="M70" s="37"/>
      <c r="N70" s="56"/>
      <c r="O70" s="27"/>
      <c r="P70" s="27"/>
      <c r="Q70" s="14"/>
      <c r="R70" s="14"/>
      <c r="S70" s="14"/>
      <c r="T70" s="14"/>
      <c r="U70" s="14"/>
      <c r="V70" s="27"/>
      <c r="W70" s="57"/>
      <c r="X70" s="42"/>
      <c r="Y70" s="14"/>
      <c r="Z70" s="14"/>
      <c r="AA70" s="106"/>
      <c r="AB70" s="100"/>
      <c r="AC70" s="100"/>
      <c r="AD70" s="100"/>
      <c r="AE70" s="100"/>
      <c r="AF70" s="100"/>
      <c r="AG70" s="100"/>
      <c r="AH70" s="100"/>
      <c r="AI70" s="100"/>
      <c r="AJ70" s="100"/>
      <c r="AK70" s="100"/>
      <c r="AL70" s="100"/>
      <c r="AM70" s="100"/>
      <c r="AN70" s="100"/>
      <c r="AO70" s="100"/>
      <c r="AP70" s="100"/>
      <c r="AQ70" s="100"/>
      <c r="AR70" s="100"/>
      <c r="AS70" s="100"/>
      <c r="AT70" s="100"/>
      <c r="AU70" s="100"/>
      <c r="AV70" s="100"/>
      <c r="AW70" s="109"/>
      <c r="AX70" s="100"/>
      <c r="AY70" s="130"/>
      <c r="AZ70" s="346"/>
      <c r="BA70" s="343"/>
      <c r="BB70" s="389"/>
      <c r="BC70" s="395"/>
      <c r="BD70" s="395"/>
      <c r="BE70" s="395"/>
      <c r="BF70" s="395"/>
      <c r="BG70" s="395"/>
      <c r="BH70" s="395"/>
      <c r="BI70" s="343"/>
      <c r="BJ70" s="357"/>
      <c r="BK70" s="357"/>
      <c r="BL70" s="357"/>
      <c r="BM70" s="357"/>
      <c r="BN70" s="357"/>
      <c r="BO70" s="357"/>
      <c r="BP70" s="357"/>
      <c r="BQ70" s="357"/>
      <c r="BR70" s="357"/>
      <c r="BS70" s="357"/>
      <c r="BT70" s="357"/>
      <c r="BU70" s="357"/>
      <c r="BV70" s="357"/>
      <c r="BW70" s="357"/>
      <c r="BX70" s="357"/>
      <c r="BY70" s="357"/>
      <c r="BZ70" s="357"/>
      <c r="CA70" s="357"/>
      <c r="CB70" s="357"/>
      <c r="CC70" s="357"/>
      <c r="CD70" s="357"/>
      <c r="CE70" s="357"/>
      <c r="CF70" s="357"/>
      <c r="CG70" s="357"/>
      <c r="CH70" s="357"/>
      <c r="CI70" s="357"/>
      <c r="CJ70" s="357"/>
      <c r="CK70" s="357"/>
      <c r="CL70" s="357"/>
      <c r="CM70" s="357"/>
      <c r="CN70" s="357"/>
      <c r="CO70" s="357"/>
      <c r="CP70" s="357"/>
      <c r="CQ70" s="357"/>
      <c r="CR70" s="357"/>
      <c r="CS70" s="357"/>
      <c r="CT70" s="359"/>
      <c r="CU70" s="359"/>
      <c r="CV70" s="359"/>
      <c r="CW70" s="359"/>
      <c r="CX70" s="359"/>
      <c r="CY70" s="359"/>
      <c r="CZ70" s="359"/>
      <c r="DA70" s="359"/>
      <c r="DB70" s="359"/>
      <c r="DC70" s="359"/>
      <c r="DD70" s="359"/>
      <c r="DE70" s="359"/>
      <c r="DF70" s="359"/>
      <c r="DG70" s="359"/>
      <c r="DH70" s="359"/>
      <c r="DI70" s="359"/>
      <c r="DJ70" s="359"/>
      <c r="DK70" s="359"/>
      <c r="DL70" s="359"/>
      <c r="DM70" s="359"/>
      <c r="DN70" s="408"/>
      <c r="DO70" s="408"/>
      <c r="DP70" s="408"/>
      <c r="DQ70" s="408"/>
      <c r="DR70" s="408"/>
      <c r="DS70" s="408"/>
      <c r="DT70" s="408"/>
      <c r="DU70" s="408"/>
      <c r="DV70" s="408"/>
      <c r="DW70" s="408"/>
      <c r="DX70" s="408"/>
      <c r="DY70" s="408"/>
      <c r="DZ70" s="408"/>
      <c r="EA70" s="359"/>
      <c r="EB70" s="359"/>
      <c r="EC70" s="359"/>
      <c r="ED70" s="359"/>
      <c r="EE70" s="359"/>
      <c r="EF70" s="359"/>
      <c r="EG70" s="359"/>
      <c r="EH70" s="359"/>
      <c r="EI70" s="359"/>
      <c r="EJ70" s="359"/>
      <c r="EK70" s="359"/>
      <c r="EL70" s="359"/>
      <c r="EM70" s="359"/>
      <c r="EN70" s="359"/>
      <c r="EO70" s="359"/>
      <c r="EP70" s="360"/>
      <c r="EQ70" s="360"/>
      <c r="ER70" s="360"/>
      <c r="ES70" s="360"/>
      <c r="ET70" s="360"/>
      <c r="EU70" s="360"/>
      <c r="EV70" s="360"/>
      <c r="EW70" s="361"/>
      <c r="EX70" s="360"/>
      <c r="EY70" s="360"/>
      <c r="EZ70" s="360"/>
      <c r="FA70" s="360"/>
      <c r="FB70" s="387"/>
      <c r="FC70" s="360"/>
      <c r="FD70" s="360"/>
      <c r="FE70" s="360"/>
      <c r="FF70" s="360"/>
      <c r="FG70" s="360"/>
      <c r="FH70" s="352"/>
      <c r="FI70" s="352"/>
      <c r="FJ70" s="352"/>
      <c r="FK70" s="352"/>
      <c r="FL70" s="352"/>
      <c r="FM70" s="352"/>
      <c r="FN70" s="352"/>
      <c r="FO70" s="345"/>
      <c r="FP70" s="345"/>
      <c r="FQ70" s="345"/>
      <c r="FR70" s="345"/>
      <c r="FS70" s="345"/>
      <c r="FT70" s="112"/>
      <c r="FU70" s="112"/>
      <c r="FV70" s="112"/>
      <c r="FW70" s="112"/>
      <c r="FX70" s="112"/>
      <c r="FY70" s="112"/>
      <c r="FZ70" s="112"/>
      <c r="GA70" s="112"/>
      <c r="GB70" s="112"/>
      <c r="GC70" s="112"/>
      <c r="GD70" s="112"/>
      <c r="GE70" s="112"/>
      <c r="GF70" s="112"/>
      <c r="GG70" s="112"/>
      <c r="GH70" s="112"/>
      <c r="GI70" s="112"/>
      <c r="GJ70" s="112"/>
      <c r="GK70" s="112"/>
      <c r="GL70" s="112"/>
      <c r="GM70" s="112"/>
      <c r="GN70" s="119"/>
      <c r="GO70" s="119"/>
      <c r="GP70" s="119"/>
      <c r="GQ70" s="119"/>
      <c r="GR70" s="119"/>
      <c r="GS70" s="112"/>
      <c r="GT70" s="119"/>
      <c r="GU70" s="119"/>
      <c r="GV70" s="119"/>
      <c r="GW70" s="119"/>
      <c r="GX70" s="119"/>
      <c r="GY70" s="119"/>
      <c r="GZ70" s="119"/>
      <c r="HA70" s="119"/>
      <c r="HB70" s="119"/>
      <c r="HC70" s="119"/>
      <c r="HD70" s="119"/>
      <c r="HE70" s="112"/>
      <c r="HF70" s="112"/>
      <c r="HG70" s="112"/>
      <c r="HH70" s="112"/>
      <c r="HI70" s="112"/>
      <c r="HJ70" s="112"/>
      <c r="HK70" s="112"/>
      <c r="HL70" s="112"/>
      <c r="HM70" s="112"/>
      <c r="HN70" s="112"/>
      <c r="HO70" s="112"/>
      <c r="HP70" s="112"/>
      <c r="HQ70" s="112"/>
      <c r="HR70" s="112"/>
      <c r="HS70" s="112"/>
      <c r="HT70" s="112"/>
      <c r="HU70" s="112"/>
      <c r="HV70" s="112"/>
      <c r="HW70" s="112"/>
      <c r="HX70" s="112"/>
      <c r="HY70" s="112"/>
      <c r="HZ70" s="112"/>
      <c r="IA70" s="112"/>
      <c r="IB70" s="111"/>
      <c r="IC70" s="111"/>
      <c r="ID70" s="111"/>
      <c r="IE70" s="111"/>
      <c r="IF70" s="112"/>
      <c r="IG70" s="112"/>
      <c r="IH70" s="112"/>
      <c r="II70" s="112"/>
      <c r="IJ70" s="112"/>
      <c r="IK70" s="112"/>
      <c r="IL70" s="112"/>
      <c r="IM70" s="111"/>
      <c r="IN70" s="114"/>
      <c r="IO70" s="114"/>
      <c r="IP70" s="111"/>
      <c r="IQ70" s="111"/>
      <c r="IR70" s="111"/>
      <c r="IS70" s="111"/>
      <c r="IT70" s="112"/>
      <c r="IU70" s="112"/>
      <c r="IV70" s="112"/>
      <c r="IW70" s="112"/>
      <c r="IX70" s="112"/>
      <c r="IY70" s="112"/>
      <c r="IZ70" s="112"/>
      <c r="JA70" s="112"/>
      <c r="JB70" s="112"/>
      <c r="JC70" s="112"/>
      <c r="JD70" s="112"/>
      <c r="JE70" s="111"/>
      <c r="JF70" s="112"/>
      <c r="JG70" s="112"/>
      <c r="JH70" s="112"/>
      <c r="JI70" s="112"/>
      <c r="JJ70" s="111"/>
      <c r="JK70" s="112"/>
      <c r="JL70" s="112"/>
      <c r="JM70" s="112"/>
      <c r="JN70" s="112"/>
      <c r="JO70" s="112"/>
      <c r="JP70" s="112"/>
      <c r="JQ70" s="112"/>
      <c r="JR70" s="112"/>
      <c r="JS70" s="111"/>
      <c r="JT70" s="112"/>
      <c r="JU70" s="111"/>
      <c r="JV70" s="112"/>
      <c r="JW70" s="111"/>
      <c r="JX70" s="112"/>
      <c r="JY70" s="111"/>
      <c r="JZ70" s="112"/>
      <c r="KA70" s="111"/>
    </row>
    <row r="71" spans="1:287" s="110" customFormat="1" ht="15" hidden="1" customHeight="1" x14ac:dyDescent="0.25">
      <c r="A71" s="49"/>
      <c r="B71" s="34"/>
      <c r="C71" s="35"/>
      <c r="D71" s="35"/>
      <c r="E71" s="35"/>
      <c r="F71" s="35"/>
      <c r="G71" s="35"/>
      <c r="H71" s="35"/>
      <c r="I71" s="43"/>
      <c r="J71" s="37"/>
      <c r="K71" s="37"/>
      <c r="L71" s="44"/>
      <c r="M71" s="37"/>
      <c r="N71" s="58"/>
      <c r="O71" s="27"/>
      <c r="P71" s="59"/>
      <c r="Q71" s="27"/>
      <c r="R71" s="14"/>
      <c r="S71" s="14"/>
      <c r="T71" s="14"/>
      <c r="U71" s="14"/>
      <c r="V71" s="27"/>
      <c r="W71" s="57"/>
      <c r="X71" s="42"/>
      <c r="Y71" s="14"/>
      <c r="Z71" s="14"/>
      <c r="AA71" s="106"/>
      <c r="AB71" s="100"/>
      <c r="AC71" s="100"/>
      <c r="AD71" s="100"/>
      <c r="AE71" s="100"/>
      <c r="AF71" s="100"/>
      <c r="AG71" s="100"/>
      <c r="AH71" s="100"/>
      <c r="AI71" s="100"/>
      <c r="AJ71" s="100"/>
      <c r="AK71" s="100"/>
      <c r="AL71" s="100"/>
      <c r="AM71" s="100"/>
      <c r="AN71" s="100"/>
      <c r="AO71" s="100"/>
      <c r="AP71" s="100"/>
      <c r="AQ71" s="100"/>
      <c r="AR71" s="100"/>
      <c r="AS71" s="100"/>
      <c r="AT71" s="100"/>
      <c r="AU71" s="100"/>
      <c r="AV71" s="100"/>
      <c r="AW71" s="109"/>
      <c r="AX71" s="100"/>
      <c r="AY71" s="130"/>
      <c r="AZ71" s="346"/>
      <c r="BA71" s="343"/>
      <c r="BB71" s="389"/>
      <c r="BC71" s="395"/>
      <c r="BD71" s="395"/>
      <c r="BE71" s="395"/>
      <c r="BF71" s="395"/>
      <c r="BG71" s="395"/>
      <c r="BH71" s="395"/>
      <c r="BI71" s="343"/>
      <c r="BJ71" s="357"/>
      <c r="BK71" s="357"/>
      <c r="BL71" s="357"/>
      <c r="BM71" s="357"/>
      <c r="BN71" s="357"/>
      <c r="BO71" s="357"/>
      <c r="BP71" s="357"/>
      <c r="BQ71" s="357"/>
      <c r="BR71" s="357"/>
      <c r="BS71" s="357"/>
      <c r="BT71" s="357"/>
      <c r="BU71" s="357"/>
      <c r="BV71" s="357"/>
      <c r="BW71" s="357"/>
      <c r="BX71" s="357"/>
      <c r="BY71" s="357"/>
      <c r="BZ71" s="357"/>
      <c r="CA71" s="357"/>
      <c r="CB71" s="357"/>
      <c r="CC71" s="357"/>
      <c r="CD71" s="357"/>
      <c r="CE71" s="357"/>
      <c r="CF71" s="357"/>
      <c r="CG71" s="357"/>
      <c r="CH71" s="357"/>
      <c r="CI71" s="357"/>
      <c r="CJ71" s="357"/>
      <c r="CK71" s="357"/>
      <c r="CL71" s="357"/>
      <c r="CM71" s="357"/>
      <c r="CN71" s="357"/>
      <c r="CO71" s="357"/>
      <c r="CP71" s="357"/>
      <c r="CQ71" s="357"/>
      <c r="CR71" s="357"/>
      <c r="CS71" s="357"/>
      <c r="CT71" s="359"/>
      <c r="CU71" s="359"/>
      <c r="CV71" s="359"/>
      <c r="CW71" s="359"/>
      <c r="CX71" s="359"/>
      <c r="CY71" s="359"/>
      <c r="CZ71" s="359"/>
      <c r="DA71" s="359"/>
      <c r="DB71" s="359"/>
      <c r="DC71" s="359"/>
      <c r="DD71" s="359"/>
      <c r="DE71" s="359"/>
      <c r="DF71" s="359"/>
      <c r="DG71" s="359"/>
      <c r="DH71" s="359"/>
      <c r="DI71" s="359"/>
      <c r="DJ71" s="359"/>
      <c r="DK71" s="359"/>
      <c r="DL71" s="359"/>
      <c r="DM71" s="359"/>
      <c r="DN71" s="408"/>
      <c r="DO71" s="408"/>
      <c r="DP71" s="408"/>
      <c r="DQ71" s="408"/>
      <c r="DR71" s="408"/>
      <c r="DS71" s="408"/>
      <c r="DT71" s="408"/>
      <c r="DU71" s="408"/>
      <c r="DV71" s="408"/>
      <c r="DW71" s="408"/>
      <c r="DX71" s="408"/>
      <c r="DY71" s="408"/>
      <c r="DZ71" s="408"/>
      <c r="EA71" s="359"/>
      <c r="EB71" s="359"/>
      <c r="EC71" s="359"/>
      <c r="ED71" s="359"/>
      <c r="EE71" s="359"/>
      <c r="EF71" s="359"/>
      <c r="EG71" s="359"/>
      <c r="EH71" s="359"/>
      <c r="EI71" s="359"/>
      <c r="EJ71" s="359"/>
      <c r="EK71" s="359"/>
      <c r="EL71" s="359"/>
      <c r="EM71" s="359"/>
      <c r="EN71" s="359"/>
      <c r="EO71" s="359"/>
      <c r="EP71" s="360"/>
      <c r="EQ71" s="360"/>
      <c r="ER71" s="360"/>
      <c r="ES71" s="360"/>
      <c r="ET71" s="360"/>
      <c r="EU71" s="360"/>
      <c r="EV71" s="360"/>
      <c r="EW71" s="361"/>
      <c r="EX71" s="360"/>
      <c r="EY71" s="360"/>
      <c r="EZ71" s="360"/>
      <c r="FA71" s="360"/>
      <c r="FB71" s="387"/>
      <c r="FC71" s="360"/>
      <c r="FD71" s="360"/>
      <c r="FE71" s="360"/>
      <c r="FF71" s="360"/>
      <c r="FG71" s="360"/>
      <c r="FH71" s="352"/>
      <c r="FI71" s="352"/>
      <c r="FJ71" s="352"/>
      <c r="FK71" s="352"/>
      <c r="FL71" s="352"/>
      <c r="FM71" s="352"/>
      <c r="FN71" s="352"/>
      <c r="FO71" s="345"/>
      <c r="FP71" s="345"/>
      <c r="FQ71" s="345"/>
      <c r="FR71" s="345"/>
      <c r="FS71" s="345"/>
      <c r="FT71" s="112"/>
      <c r="FU71" s="112"/>
      <c r="FV71" s="112"/>
      <c r="FW71" s="112"/>
      <c r="FX71" s="112"/>
      <c r="FY71" s="112"/>
      <c r="FZ71" s="112"/>
      <c r="GA71" s="112"/>
      <c r="GB71" s="112"/>
      <c r="GC71" s="112"/>
      <c r="GD71" s="112"/>
      <c r="GE71" s="112"/>
      <c r="GF71" s="112"/>
      <c r="GG71" s="112"/>
      <c r="GH71" s="112"/>
      <c r="GI71" s="112"/>
      <c r="GJ71" s="112"/>
      <c r="GK71" s="112"/>
      <c r="GL71" s="112"/>
      <c r="GM71" s="112"/>
      <c r="GN71" s="119"/>
      <c r="GO71" s="119"/>
      <c r="GP71" s="119"/>
      <c r="GQ71" s="119"/>
      <c r="GR71" s="119"/>
      <c r="GS71" s="112"/>
      <c r="GT71" s="119"/>
      <c r="GU71" s="119"/>
      <c r="GV71" s="119"/>
      <c r="GW71" s="119"/>
      <c r="GX71" s="119"/>
      <c r="GY71" s="119"/>
      <c r="GZ71" s="119"/>
      <c r="HA71" s="119"/>
      <c r="HB71" s="119"/>
      <c r="HC71" s="119"/>
      <c r="HD71" s="119"/>
      <c r="HE71" s="112"/>
      <c r="HF71" s="112"/>
      <c r="HG71" s="112"/>
      <c r="HH71" s="112"/>
      <c r="HI71" s="112"/>
      <c r="HJ71" s="112"/>
      <c r="HK71" s="112"/>
      <c r="HL71" s="112"/>
      <c r="HM71" s="112"/>
      <c r="HN71" s="112"/>
      <c r="HO71" s="112"/>
      <c r="HP71" s="112"/>
      <c r="HQ71" s="112"/>
      <c r="HR71" s="112"/>
      <c r="HS71" s="112"/>
      <c r="HT71" s="112"/>
      <c r="HU71" s="112"/>
      <c r="HV71" s="112"/>
      <c r="HW71" s="112"/>
      <c r="HX71" s="112"/>
      <c r="HY71" s="112"/>
      <c r="HZ71" s="112"/>
      <c r="IA71" s="112"/>
      <c r="IB71" s="111"/>
      <c r="IC71" s="111"/>
      <c r="ID71" s="111"/>
      <c r="IE71" s="111"/>
      <c r="IF71" s="112"/>
      <c r="IG71" s="112"/>
      <c r="IH71" s="112"/>
      <c r="II71" s="112"/>
      <c r="IJ71" s="112"/>
      <c r="IK71" s="112"/>
      <c r="IL71" s="112"/>
      <c r="IM71" s="111"/>
      <c r="IN71" s="114"/>
      <c r="IO71" s="114"/>
      <c r="IP71" s="111"/>
      <c r="IQ71" s="111"/>
      <c r="IR71" s="111"/>
      <c r="IS71" s="111"/>
      <c r="IT71" s="112"/>
      <c r="IU71" s="112"/>
      <c r="IV71" s="112"/>
      <c r="IW71" s="112"/>
      <c r="IX71" s="112"/>
      <c r="IY71" s="112"/>
      <c r="IZ71" s="112"/>
      <c r="JA71" s="112"/>
      <c r="JB71" s="112"/>
      <c r="JC71" s="112"/>
      <c r="JD71" s="112"/>
      <c r="JE71" s="111"/>
      <c r="JF71" s="112"/>
      <c r="JG71" s="112"/>
      <c r="JH71" s="112"/>
      <c r="JI71" s="112"/>
      <c r="JJ71" s="111"/>
      <c r="JK71" s="112"/>
      <c r="JL71" s="112"/>
      <c r="JM71" s="112"/>
      <c r="JN71" s="112"/>
      <c r="JO71" s="112"/>
      <c r="JP71" s="112"/>
      <c r="JQ71" s="112"/>
      <c r="JR71" s="112"/>
      <c r="JS71" s="111"/>
      <c r="JT71" s="112"/>
      <c r="JU71" s="111"/>
      <c r="JV71" s="112"/>
      <c r="JW71" s="111"/>
      <c r="JX71" s="112"/>
      <c r="JY71" s="111"/>
      <c r="JZ71" s="112"/>
      <c r="KA71" s="111"/>
    </row>
    <row r="72" spans="1:287" s="110" customFormat="1" ht="15" hidden="1" customHeight="1" x14ac:dyDescent="0.25">
      <c r="A72" s="49"/>
      <c r="B72" s="35"/>
      <c r="C72" s="35"/>
      <c r="D72" s="35"/>
      <c r="E72" s="35"/>
      <c r="F72" s="35"/>
      <c r="G72" s="35"/>
      <c r="H72" s="35"/>
      <c r="I72" s="43"/>
      <c r="J72" s="37"/>
      <c r="K72" s="37"/>
      <c r="L72" s="44"/>
      <c r="M72" s="37"/>
      <c r="N72" s="60"/>
      <c r="O72" s="46"/>
      <c r="P72" s="27"/>
      <c r="Q72" s="27"/>
      <c r="R72" s="14"/>
      <c r="S72" s="14"/>
      <c r="T72" s="14"/>
      <c r="U72" s="14"/>
      <c r="V72" s="27"/>
      <c r="W72" s="57"/>
      <c r="X72" s="42"/>
      <c r="Y72" s="14"/>
      <c r="Z72" s="14"/>
      <c r="AA72" s="106"/>
      <c r="AB72" s="100"/>
      <c r="AC72" s="100"/>
      <c r="AD72" s="100"/>
      <c r="AE72" s="100"/>
      <c r="AF72" s="100"/>
      <c r="AG72" s="100"/>
      <c r="AH72" s="100"/>
      <c r="AI72" s="100"/>
      <c r="AJ72" s="100"/>
      <c r="AK72" s="100"/>
      <c r="AL72" s="100"/>
      <c r="AM72" s="100"/>
      <c r="AN72" s="100"/>
      <c r="AO72" s="100"/>
      <c r="AP72" s="100"/>
      <c r="AQ72" s="100"/>
      <c r="AR72" s="100"/>
      <c r="AS72" s="100"/>
      <c r="AT72" s="100"/>
      <c r="AU72" s="100"/>
      <c r="AV72" s="100"/>
      <c r="AW72" s="109"/>
      <c r="AX72" s="100"/>
      <c r="AY72" s="130"/>
      <c r="AZ72" s="346"/>
      <c r="BA72" s="343"/>
      <c r="BB72" s="389"/>
      <c r="BC72" s="395"/>
      <c r="BD72" s="395"/>
      <c r="BE72" s="395"/>
      <c r="BF72" s="395"/>
      <c r="BG72" s="395"/>
      <c r="BH72" s="395"/>
      <c r="BI72" s="343"/>
      <c r="BJ72" s="357"/>
      <c r="BK72" s="357"/>
      <c r="BL72" s="357"/>
      <c r="BM72" s="357"/>
      <c r="BN72" s="357"/>
      <c r="BO72" s="357"/>
      <c r="BP72" s="357"/>
      <c r="BQ72" s="357"/>
      <c r="BR72" s="357"/>
      <c r="BS72" s="357"/>
      <c r="BT72" s="357"/>
      <c r="BU72" s="357"/>
      <c r="BV72" s="357"/>
      <c r="BW72" s="357"/>
      <c r="BX72" s="357"/>
      <c r="BY72" s="357"/>
      <c r="BZ72" s="357"/>
      <c r="CA72" s="357"/>
      <c r="CB72" s="357"/>
      <c r="CC72" s="357"/>
      <c r="CD72" s="357"/>
      <c r="CE72" s="357"/>
      <c r="CF72" s="357"/>
      <c r="CG72" s="357"/>
      <c r="CH72" s="357"/>
      <c r="CI72" s="357"/>
      <c r="CJ72" s="357"/>
      <c r="CK72" s="357"/>
      <c r="CL72" s="357"/>
      <c r="CM72" s="357"/>
      <c r="CN72" s="357"/>
      <c r="CO72" s="357"/>
      <c r="CP72" s="357"/>
      <c r="CQ72" s="357"/>
      <c r="CR72" s="357"/>
      <c r="CS72" s="357"/>
      <c r="CT72" s="359"/>
      <c r="CU72" s="359"/>
      <c r="CV72" s="359"/>
      <c r="CW72" s="357"/>
      <c r="CX72" s="357"/>
      <c r="CY72" s="357"/>
      <c r="CZ72" s="357"/>
      <c r="DA72" s="357"/>
      <c r="DB72" s="357"/>
      <c r="DC72" s="357"/>
      <c r="DD72" s="357"/>
      <c r="DE72" s="357"/>
      <c r="DF72" s="357"/>
      <c r="DG72" s="357"/>
      <c r="DH72" s="357"/>
      <c r="DI72" s="357"/>
      <c r="DJ72" s="357"/>
      <c r="DK72" s="357"/>
      <c r="DL72" s="359"/>
      <c r="DM72" s="359"/>
      <c r="DN72" s="408"/>
      <c r="DO72" s="408"/>
      <c r="DP72" s="408"/>
      <c r="DQ72" s="408"/>
      <c r="DR72" s="408"/>
      <c r="DS72" s="408"/>
      <c r="DT72" s="408"/>
      <c r="DU72" s="408"/>
      <c r="DV72" s="408"/>
      <c r="DW72" s="408"/>
      <c r="DX72" s="408"/>
      <c r="DY72" s="408"/>
      <c r="DZ72" s="408"/>
      <c r="EA72" s="359"/>
      <c r="EB72" s="359"/>
      <c r="EC72" s="359"/>
      <c r="ED72" s="359"/>
      <c r="EE72" s="359"/>
      <c r="EF72" s="359"/>
      <c r="EG72" s="359"/>
      <c r="EH72" s="359"/>
      <c r="EI72" s="359"/>
      <c r="EJ72" s="359"/>
      <c r="EK72" s="359"/>
      <c r="EL72" s="359"/>
      <c r="EM72" s="359"/>
      <c r="EN72" s="359"/>
      <c r="EO72" s="359"/>
      <c r="EP72" s="360"/>
      <c r="EQ72" s="360"/>
      <c r="ER72" s="360"/>
      <c r="ES72" s="360"/>
      <c r="ET72" s="360"/>
      <c r="EU72" s="360"/>
      <c r="EV72" s="360"/>
      <c r="EW72" s="361"/>
      <c r="EX72" s="360"/>
      <c r="EY72" s="360"/>
      <c r="EZ72" s="360"/>
      <c r="FA72" s="360"/>
      <c r="FB72" s="387"/>
      <c r="FC72" s="360"/>
      <c r="FD72" s="360"/>
      <c r="FE72" s="360"/>
      <c r="FF72" s="360"/>
      <c r="FG72" s="360"/>
      <c r="FH72" s="352"/>
      <c r="FI72" s="352"/>
      <c r="FJ72" s="352"/>
      <c r="FK72" s="352"/>
      <c r="FL72" s="352"/>
      <c r="FM72" s="352"/>
      <c r="FN72" s="352"/>
      <c r="FO72" s="345"/>
      <c r="FP72" s="345"/>
      <c r="FQ72" s="345"/>
      <c r="FR72" s="345"/>
      <c r="FS72" s="345"/>
      <c r="FT72" s="112"/>
      <c r="FU72" s="112"/>
      <c r="FV72" s="112"/>
      <c r="FW72" s="112"/>
      <c r="FX72" s="112"/>
      <c r="FY72" s="112"/>
      <c r="FZ72" s="112"/>
      <c r="GA72" s="112"/>
      <c r="GB72" s="112"/>
      <c r="GC72" s="112"/>
      <c r="GD72" s="112"/>
      <c r="GE72" s="112"/>
      <c r="GF72" s="112"/>
      <c r="GG72" s="112"/>
      <c r="GH72" s="112"/>
      <c r="GI72" s="112"/>
      <c r="GJ72" s="112"/>
      <c r="GK72" s="112"/>
      <c r="GL72" s="112"/>
      <c r="GM72" s="112"/>
      <c r="GN72" s="119"/>
      <c r="GO72" s="119"/>
      <c r="GQ72" s="119"/>
      <c r="GR72" s="112"/>
      <c r="GS72" s="112"/>
      <c r="GT72" s="120"/>
      <c r="GU72" s="120"/>
      <c r="GV72" s="120"/>
      <c r="GW72" s="119"/>
      <c r="GX72" s="119"/>
      <c r="GY72" s="119"/>
      <c r="GZ72" s="119"/>
      <c r="HA72" s="119"/>
      <c r="HB72" s="119"/>
      <c r="HC72" s="112"/>
      <c r="HD72" s="112"/>
      <c r="HE72" s="112"/>
      <c r="HF72" s="112"/>
      <c r="HG72" s="112"/>
      <c r="HH72" s="112"/>
      <c r="HI72" s="112"/>
      <c r="HJ72" s="112"/>
      <c r="HK72" s="112"/>
      <c r="HL72" s="112"/>
      <c r="HM72" s="112"/>
      <c r="HN72" s="112"/>
      <c r="HO72" s="112"/>
      <c r="HP72" s="112"/>
      <c r="HQ72" s="112"/>
      <c r="HR72" s="112"/>
      <c r="HS72" s="112"/>
      <c r="HT72" s="112"/>
      <c r="HU72" s="112"/>
      <c r="HV72" s="112"/>
      <c r="HW72" s="112"/>
      <c r="HX72" s="112"/>
      <c r="HY72" s="112"/>
      <c r="HZ72" s="112"/>
      <c r="IA72" s="112"/>
      <c r="IB72" s="111"/>
      <c r="IC72" s="111"/>
      <c r="ID72" s="111"/>
      <c r="IE72" s="111"/>
      <c r="IF72" s="112"/>
      <c r="IG72" s="112"/>
      <c r="IH72" s="112"/>
      <c r="II72" s="112"/>
      <c r="IJ72" s="112"/>
      <c r="IK72" s="112"/>
      <c r="IL72" s="112"/>
      <c r="IM72" s="111"/>
      <c r="IN72" s="114"/>
      <c r="IO72" s="114"/>
      <c r="IP72" s="111"/>
      <c r="IQ72" s="111"/>
      <c r="IR72" s="111"/>
      <c r="IS72" s="111"/>
      <c r="IT72" s="112"/>
      <c r="IU72" s="112"/>
      <c r="IV72" s="112"/>
      <c r="IW72" s="112"/>
      <c r="IX72" s="112"/>
      <c r="IY72" s="112"/>
      <c r="IZ72" s="112"/>
      <c r="JA72" s="112"/>
      <c r="JB72" s="112"/>
      <c r="JC72" s="112"/>
      <c r="JD72" s="112"/>
      <c r="JE72" s="111"/>
      <c r="JF72" s="112"/>
      <c r="JG72" s="112"/>
      <c r="JH72" s="112"/>
      <c r="JI72" s="112"/>
      <c r="JJ72" s="111"/>
      <c r="JK72" s="112"/>
      <c r="JL72" s="112"/>
      <c r="JM72" s="112"/>
      <c r="JN72" s="112"/>
      <c r="JO72" s="112"/>
      <c r="JP72" s="112"/>
      <c r="JQ72" s="112"/>
      <c r="JR72" s="112"/>
      <c r="JS72" s="111"/>
      <c r="JT72" s="112"/>
      <c r="JU72" s="111"/>
      <c r="JV72" s="112"/>
      <c r="JW72" s="111"/>
      <c r="JX72" s="112"/>
      <c r="JY72" s="111"/>
      <c r="JZ72" s="112"/>
      <c r="KA72" s="111"/>
    </row>
    <row r="73" spans="1:287" s="110" customFormat="1" ht="15" hidden="1" customHeight="1" x14ac:dyDescent="0.25">
      <c r="A73" s="49"/>
      <c r="B73" s="34"/>
      <c r="C73" s="35"/>
      <c r="D73" s="35"/>
      <c r="E73" s="35"/>
      <c r="F73" s="35"/>
      <c r="G73" s="35"/>
      <c r="H73" s="35"/>
      <c r="I73" s="43"/>
      <c r="J73" s="37"/>
      <c r="K73" s="37"/>
      <c r="L73" s="44"/>
      <c r="M73" s="37"/>
      <c r="N73" s="58"/>
      <c r="O73" s="27"/>
      <c r="P73" s="27"/>
      <c r="Q73" s="27"/>
      <c r="R73" s="14"/>
      <c r="S73" s="14"/>
      <c r="T73" s="14"/>
      <c r="U73" s="14"/>
      <c r="V73" s="27"/>
      <c r="W73" s="57"/>
      <c r="X73" s="42"/>
      <c r="Y73" s="14"/>
      <c r="Z73" s="14"/>
      <c r="AA73" s="106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  <c r="AT73" s="100"/>
      <c r="AU73" s="100"/>
      <c r="AV73" s="100"/>
      <c r="AW73" s="109"/>
      <c r="AX73" s="100"/>
      <c r="AY73" s="130"/>
      <c r="AZ73" s="346"/>
      <c r="BA73" s="343"/>
      <c r="BB73" s="389"/>
      <c r="BC73" s="395"/>
      <c r="BD73" s="395"/>
      <c r="BE73" s="395"/>
      <c r="BF73" s="395"/>
      <c r="BG73" s="395"/>
      <c r="BH73" s="395"/>
      <c r="BI73" s="343"/>
      <c r="BJ73" s="357"/>
      <c r="BK73" s="357"/>
      <c r="BL73" s="357"/>
      <c r="BM73" s="357"/>
      <c r="BN73" s="357"/>
      <c r="BO73" s="357"/>
      <c r="BP73" s="357"/>
      <c r="BQ73" s="357"/>
      <c r="BR73" s="357"/>
      <c r="BS73" s="357"/>
      <c r="BT73" s="357"/>
      <c r="BU73" s="357"/>
      <c r="BV73" s="357"/>
      <c r="BW73" s="357"/>
      <c r="BX73" s="357"/>
      <c r="BY73" s="357"/>
      <c r="BZ73" s="357"/>
      <c r="CA73" s="357"/>
      <c r="CB73" s="357"/>
      <c r="CC73" s="357"/>
      <c r="CD73" s="357"/>
      <c r="CE73" s="357"/>
      <c r="CF73" s="357"/>
      <c r="CG73" s="357"/>
      <c r="CH73" s="357"/>
      <c r="CI73" s="357"/>
      <c r="CJ73" s="357"/>
      <c r="CK73" s="357"/>
      <c r="CL73" s="357"/>
      <c r="CM73" s="357"/>
      <c r="CN73" s="357"/>
      <c r="CO73" s="357"/>
      <c r="CP73" s="357"/>
      <c r="CQ73" s="357"/>
      <c r="CR73" s="357"/>
      <c r="CS73" s="357"/>
      <c r="CT73" s="359"/>
      <c r="CU73" s="359"/>
      <c r="CV73" s="359"/>
      <c r="CW73" s="357"/>
      <c r="CX73" s="357"/>
      <c r="CY73" s="357"/>
      <c r="CZ73" s="357"/>
      <c r="DA73" s="357"/>
      <c r="DB73" s="357"/>
      <c r="DC73" s="357"/>
      <c r="DD73" s="357"/>
      <c r="DE73" s="357"/>
      <c r="DF73" s="357"/>
      <c r="DG73" s="357"/>
      <c r="DH73" s="357"/>
      <c r="DI73" s="357"/>
      <c r="DJ73" s="357"/>
      <c r="DK73" s="357"/>
      <c r="DL73" s="359"/>
      <c r="DM73" s="359"/>
      <c r="DN73" s="408"/>
      <c r="DO73" s="408"/>
      <c r="DP73" s="408"/>
      <c r="DQ73" s="408"/>
      <c r="DR73" s="408"/>
      <c r="DS73" s="408"/>
      <c r="DT73" s="408"/>
      <c r="DU73" s="408"/>
      <c r="DV73" s="408"/>
      <c r="DW73" s="408"/>
      <c r="DX73" s="408"/>
      <c r="DY73" s="408"/>
      <c r="DZ73" s="408"/>
      <c r="EA73" s="359"/>
      <c r="EB73" s="359"/>
      <c r="EC73" s="359"/>
      <c r="ED73" s="359"/>
      <c r="EE73" s="359"/>
      <c r="EF73" s="359"/>
      <c r="EG73" s="359"/>
      <c r="EH73" s="359"/>
      <c r="EI73" s="359"/>
      <c r="EJ73" s="359"/>
      <c r="EK73" s="359"/>
      <c r="EL73" s="359"/>
      <c r="EM73" s="359"/>
      <c r="EN73" s="359"/>
      <c r="EO73" s="359"/>
      <c r="EP73" s="360"/>
      <c r="EQ73" s="360"/>
      <c r="ER73" s="360"/>
      <c r="ES73" s="360"/>
      <c r="ET73" s="360"/>
      <c r="EU73" s="360"/>
      <c r="EV73" s="360"/>
      <c r="EW73" s="361"/>
      <c r="EX73" s="360"/>
      <c r="EY73" s="360"/>
      <c r="EZ73" s="360"/>
      <c r="FA73" s="360"/>
      <c r="FB73" s="387"/>
      <c r="FC73" s="360"/>
      <c r="FD73" s="360"/>
      <c r="FE73" s="360"/>
      <c r="FF73" s="360"/>
      <c r="FG73" s="360"/>
      <c r="FH73" s="352"/>
      <c r="FI73" s="352"/>
      <c r="FJ73" s="352"/>
      <c r="FK73" s="352"/>
      <c r="FL73" s="352"/>
      <c r="FM73" s="352"/>
      <c r="FN73" s="352"/>
      <c r="FO73" s="345"/>
      <c r="FP73" s="345"/>
      <c r="FQ73" s="345"/>
      <c r="FR73" s="345"/>
      <c r="FS73" s="345"/>
      <c r="FT73" s="112"/>
      <c r="FU73" s="112"/>
      <c r="FV73" s="112"/>
      <c r="FW73" s="112"/>
      <c r="FX73" s="112"/>
      <c r="FY73" s="112"/>
      <c r="FZ73" s="112"/>
      <c r="GA73" s="112"/>
      <c r="GB73" s="112"/>
      <c r="GC73" s="112"/>
      <c r="GD73" s="112"/>
      <c r="GE73" s="112"/>
      <c r="GF73" s="112"/>
      <c r="GG73" s="112"/>
      <c r="GH73" s="112"/>
      <c r="GI73" s="112"/>
      <c r="GJ73" s="112"/>
      <c r="GK73" s="112"/>
      <c r="GL73" s="112"/>
      <c r="GM73" s="112"/>
      <c r="GN73" s="112"/>
      <c r="GO73" s="112"/>
      <c r="GP73" s="112"/>
      <c r="GR73" s="112"/>
      <c r="GS73" s="112"/>
      <c r="GT73" s="119"/>
      <c r="GU73" s="119"/>
      <c r="GV73" s="119"/>
      <c r="GW73" s="119"/>
      <c r="GX73" s="119"/>
      <c r="GY73" s="119"/>
      <c r="GZ73" s="119"/>
      <c r="HA73" s="119"/>
      <c r="HB73" s="119"/>
      <c r="HC73" s="119"/>
      <c r="HD73" s="119"/>
      <c r="HE73" s="112"/>
      <c r="HF73" s="112"/>
      <c r="HG73" s="112"/>
      <c r="HH73" s="112"/>
      <c r="HI73" s="112"/>
      <c r="HJ73" s="112"/>
      <c r="HK73" s="112"/>
      <c r="HL73" s="112"/>
      <c r="HM73" s="112"/>
      <c r="HN73" s="112"/>
      <c r="HO73" s="112"/>
      <c r="HP73" s="112"/>
      <c r="HQ73" s="112"/>
      <c r="HR73" s="112"/>
      <c r="HS73" s="112"/>
      <c r="HT73" s="112"/>
      <c r="HU73" s="112"/>
      <c r="HV73" s="112"/>
      <c r="HW73" s="112"/>
      <c r="HX73" s="112"/>
      <c r="HY73" s="112"/>
      <c r="HZ73" s="112"/>
      <c r="IA73" s="112"/>
      <c r="IB73" s="111"/>
      <c r="IC73" s="111"/>
      <c r="ID73" s="111"/>
      <c r="IE73" s="111"/>
      <c r="IF73" s="112"/>
      <c r="IG73" s="112"/>
      <c r="IH73" s="112"/>
      <c r="II73" s="112"/>
      <c r="IJ73" s="112"/>
      <c r="IK73" s="112"/>
      <c r="IL73" s="112"/>
      <c r="IM73" s="111"/>
      <c r="IN73" s="114"/>
      <c r="IO73" s="114"/>
      <c r="IP73" s="111"/>
      <c r="IQ73" s="111"/>
      <c r="IR73" s="111"/>
      <c r="IS73" s="111"/>
      <c r="IT73" s="112"/>
      <c r="IU73" s="112"/>
      <c r="IV73" s="112"/>
      <c r="IW73" s="112"/>
      <c r="IX73" s="112"/>
      <c r="IY73" s="112"/>
      <c r="IZ73" s="112"/>
      <c r="JA73" s="112"/>
      <c r="JB73" s="112"/>
      <c r="JC73" s="112"/>
      <c r="JD73" s="112"/>
      <c r="JE73" s="111"/>
      <c r="JF73" s="112"/>
      <c r="JG73" s="112"/>
      <c r="JH73" s="112"/>
      <c r="JI73" s="112"/>
      <c r="JJ73" s="111"/>
      <c r="JK73" s="112"/>
      <c r="JL73" s="112"/>
      <c r="JM73" s="112"/>
      <c r="JN73" s="112"/>
      <c r="JO73" s="112"/>
      <c r="JP73" s="112"/>
      <c r="JQ73" s="112"/>
      <c r="JR73" s="112"/>
      <c r="JS73" s="111"/>
      <c r="JT73" s="112"/>
      <c r="JU73" s="111"/>
      <c r="JV73" s="112"/>
      <c r="JW73" s="111"/>
      <c r="JX73" s="112"/>
      <c r="JY73" s="111"/>
      <c r="JZ73" s="112"/>
      <c r="KA73" s="111"/>
    </row>
    <row r="74" spans="1:287" s="110" customFormat="1" ht="15" hidden="1" customHeight="1" x14ac:dyDescent="0.25">
      <c r="A74" s="49"/>
      <c r="B74" s="35"/>
      <c r="C74" s="35"/>
      <c r="D74" s="35"/>
      <c r="E74" s="35"/>
      <c r="F74" s="35"/>
      <c r="G74" s="34"/>
      <c r="H74" s="35"/>
      <c r="I74" s="43"/>
      <c r="J74" s="37"/>
      <c r="K74" s="37"/>
      <c r="L74" s="38"/>
      <c r="M74" s="39"/>
      <c r="N74" s="61"/>
      <c r="O74" s="27"/>
      <c r="P74" s="46"/>
      <c r="Q74" s="46"/>
      <c r="R74" s="14"/>
      <c r="S74" s="14"/>
      <c r="T74" s="15"/>
      <c r="U74" s="15"/>
      <c r="V74" s="46"/>
      <c r="W74" s="57"/>
      <c r="X74" s="62"/>
      <c r="Y74" s="14"/>
      <c r="Z74" s="14"/>
      <c r="AA74" s="106"/>
      <c r="AB74" s="100"/>
      <c r="AC74" s="100"/>
      <c r="AD74" s="100"/>
      <c r="AE74" s="100"/>
      <c r="AF74" s="100"/>
      <c r="AG74" s="100"/>
      <c r="AH74" s="100"/>
      <c r="AI74" s="100"/>
      <c r="AJ74" s="100"/>
      <c r="AK74" s="100"/>
      <c r="AL74" s="100"/>
      <c r="AM74" s="100"/>
      <c r="AN74" s="100"/>
      <c r="AO74" s="100"/>
      <c r="AP74" s="100"/>
      <c r="AQ74" s="100"/>
      <c r="AR74" s="100"/>
      <c r="AS74" s="100"/>
      <c r="AT74" s="100"/>
      <c r="AU74" s="100"/>
      <c r="AV74" s="100"/>
      <c r="AW74" s="109"/>
      <c r="AX74" s="100"/>
      <c r="AY74" s="130"/>
      <c r="AZ74" s="346"/>
      <c r="BA74" s="343"/>
      <c r="BB74" s="389"/>
      <c r="BC74" s="395"/>
      <c r="BD74" s="395"/>
      <c r="BE74" s="395"/>
      <c r="BF74" s="395"/>
      <c r="BG74" s="395"/>
      <c r="BH74" s="395"/>
      <c r="BI74" s="343"/>
      <c r="BJ74" s="357"/>
      <c r="BK74" s="357"/>
      <c r="BL74" s="357"/>
      <c r="BM74" s="357"/>
      <c r="BN74" s="357"/>
      <c r="BO74" s="357"/>
      <c r="BP74" s="357"/>
      <c r="BQ74" s="357"/>
      <c r="BR74" s="357"/>
      <c r="BS74" s="357"/>
      <c r="BT74" s="357"/>
      <c r="BU74" s="357"/>
      <c r="BV74" s="357"/>
      <c r="BW74" s="357"/>
      <c r="BX74" s="357"/>
      <c r="BY74" s="357"/>
      <c r="BZ74" s="357"/>
      <c r="CA74" s="357"/>
      <c r="CB74" s="357"/>
      <c r="CC74" s="357"/>
      <c r="CD74" s="357"/>
      <c r="CE74" s="357"/>
      <c r="CF74" s="357"/>
      <c r="CG74" s="357"/>
      <c r="CH74" s="357"/>
      <c r="CI74" s="357"/>
      <c r="CJ74" s="357"/>
      <c r="CK74" s="357"/>
      <c r="CL74" s="357"/>
      <c r="CM74" s="357"/>
      <c r="CN74" s="357"/>
      <c r="CO74" s="357"/>
      <c r="CP74" s="357"/>
      <c r="CQ74" s="357"/>
      <c r="CR74" s="357"/>
      <c r="CS74" s="357"/>
      <c r="CT74" s="359"/>
      <c r="CU74" s="359"/>
      <c r="CV74" s="359"/>
      <c r="CW74" s="357"/>
      <c r="CX74" s="357"/>
      <c r="CY74" s="357"/>
      <c r="CZ74" s="357"/>
      <c r="DA74" s="357"/>
      <c r="DB74" s="357"/>
      <c r="DC74" s="357"/>
      <c r="DD74" s="357"/>
      <c r="DE74" s="357"/>
      <c r="DF74" s="357"/>
      <c r="DG74" s="357"/>
      <c r="DH74" s="357"/>
      <c r="DI74" s="357"/>
      <c r="DJ74" s="357"/>
      <c r="DK74" s="357"/>
      <c r="DL74" s="359"/>
      <c r="DM74" s="359"/>
      <c r="DN74" s="408"/>
      <c r="DO74" s="408"/>
      <c r="DP74" s="408"/>
      <c r="DQ74" s="408"/>
      <c r="DR74" s="408"/>
      <c r="DS74" s="408"/>
      <c r="DT74" s="408"/>
      <c r="DU74" s="408"/>
      <c r="DV74" s="408"/>
      <c r="DW74" s="408"/>
      <c r="DX74" s="408"/>
      <c r="DY74" s="408"/>
      <c r="DZ74" s="408"/>
      <c r="EA74" s="359"/>
      <c r="EB74" s="359"/>
      <c r="EC74" s="359"/>
      <c r="ED74" s="359"/>
      <c r="EE74" s="359"/>
      <c r="EF74" s="359"/>
      <c r="EG74" s="359"/>
      <c r="EH74" s="359"/>
      <c r="EI74" s="359"/>
      <c r="EJ74" s="359"/>
      <c r="EK74" s="359"/>
      <c r="EL74" s="359"/>
      <c r="EM74" s="359"/>
      <c r="EN74" s="359"/>
      <c r="EO74" s="359"/>
      <c r="EP74" s="360"/>
      <c r="EQ74" s="360"/>
      <c r="ER74" s="360"/>
      <c r="ES74" s="360"/>
      <c r="ET74" s="360"/>
      <c r="EU74" s="360"/>
      <c r="EV74" s="360"/>
      <c r="EW74" s="361"/>
      <c r="EX74" s="360"/>
      <c r="EY74" s="360"/>
      <c r="EZ74" s="360"/>
      <c r="FA74" s="360"/>
      <c r="FB74" s="387"/>
      <c r="FC74" s="360"/>
      <c r="FD74" s="360"/>
      <c r="FE74" s="360"/>
      <c r="FF74" s="360"/>
      <c r="FG74" s="360"/>
      <c r="FH74" s="352"/>
      <c r="FI74" s="352"/>
      <c r="FJ74" s="352"/>
      <c r="FK74" s="352"/>
      <c r="FL74" s="352"/>
      <c r="FM74" s="352"/>
      <c r="FN74" s="352"/>
      <c r="FO74" s="345"/>
      <c r="FP74" s="345"/>
      <c r="FQ74" s="345"/>
      <c r="FR74" s="345"/>
      <c r="FS74" s="345"/>
      <c r="FT74" s="112"/>
      <c r="FU74" s="112"/>
      <c r="FV74" s="112"/>
      <c r="FW74" s="112"/>
      <c r="FX74" s="112"/>
      <c r="FY74" s="112"/>
      <c r="FZ74" s="112"/>
      <c r="GA74" s="112"/>
      <c r="GB74" s="112"/>
      <c r="GC74" s="112"/>
      <c r="GD74" s="112"/>
      <c r="GE74" s="112"/>
      <c r="GF74" s="112"/>
      <c r="GG74" s="112"/>
      <c r="GH74" s="112"/>
      <c r="GI74" s="112"/>
      <c r="GJ74" s="112"/>
      <c r="GK74" s="112"/>
      <c r="GL74" s="112"/>
      <c r="GM74" s="112"/>
      <c r="GN74" s="112"/>
      <c r="GO74" s="112"/>
      <c r="GP74" s="112"/>
      <c r="GQ74" s="112"/>
      <c r="GR74" s="112"/>
      <c r="GS74" s="112"/>
      <c r="GT74" s="120"/>
      <c r="GU74" s="120"/>
      <c r="GV74" s="120"/>
      <c r="GW74" s="119"/>
      <c r="GX74" s="119"/>
      <c r="GY74" s="119"/>
      <c r="GZ74" s="119"/>
      <c r="HA74" s="119"/>
      <c r="HB74" s="119"/>
      <c r="HC74" s="112"/>
      <c r="HD74" s="112"/>
      <c r="HE74" s="112"/>
      <c r="HF74" s="112"/>
      <c r="HG74" s="112"/>
      <c r="HH74" s="112"/>
      <c r="HI74" s="112"/>
      <c r="HJ74" s="112"/>
      <c r="HK74" s="112"/>
      <c r="HL74" s="112"/>
      <c r="HM74" s="112"/>
      <c r="HN74" s="112"/>
      <c r="HO74" s="112"/>
      <c r="HP74" s="112"/>
      <c r="HQ74" s="112"/>
      <c r="HR74" s="112"/>
      <c r="HS74" s="112"/>
      <c r="HT74" s="112"/>
      <c r="HU74" s="112"/>
      <c r="HV74" s="112"/>
      <c r="HW74" s="112"/>
      <c r="HX74" s="112"/>
      <c r="HY74" s="112"/>
      <c r="HZ74" s="112"/>
      <c r="IA74" s="112"/>
      <c r="IB74" s="111"/>
      <c r="IC74" s="111"/>
      <c r="ID74" s="111"/>
      <c r="IE74" s="111"/>
      <c r="IF74" s="112"/>
      <c r="IG74" s="112"/>
      <c r="IH74" s="112"/>
      <c r="II74" s="112"/>
      <c r="IJ74" s="112"/>
      <c r="IK74" s="112"/>
      <c r="IL74" s="112"/>
      <c r="IM74" s="111"/>
      <c r="IN74" s="114"/>
      <c r="IO74" s="114"/>
      <c r="IP74" s="111"/>
      <c r="IQ74" s="111"/>
      <c r="IR74" s="111"/>
      <c r="IS74" s="111"/>
      <c r="IT74" s="112"/>
      <c r="IU74" s="112"/>
      <c r="IV74" s="112"/>
      <c r="IW74" s="112"/>
      <c r="IX74" s="112"/>
      <c r="IY74" s="112"/>
      <c r="IZ74" s="112"/>
      <c r="JA74" s="112"/>
      <c r="JB74" s="112"/>
      <c r="JC74" s="112"/>
      <c r="JD74" s="112"/>
      <c r="JE74" s="111"/>
      <c r="JF74" s="112"/>
      <c r="JG74" s="112"/>
      <c r="JH74" s="112"/>
      <c r="JI74" s="112"/>
      <c r="JJ74" s="111"/>
      <c r="JK74" s="112"/>
      <c r="JL74" s="112"/>
      <c r="JM74" s="112"/>
      <c r="JN74" s="112"/>
      <c r="JO74" s="112"/>
      <c r="JP74" s="112"/>
      <c r="JQ74" s="112"/>
      <c r="JR74" s="112"/>
      <c r="JS74" s="111"/>
      <c r="JT74" s="112"/>
      <c r="JU74" s="111"/>
      <c r="JV74" s="112"/>
      <c r="JW74" s="111"/>
      <c r="JX74" s="112"/>
      <c r="JY74" s="111"/>
      <c r="JZ74" s="112"/>
      <c r="KA74" s="111"/>
    </row>
    <row r="75" spans="1:287" s="110" customFormat="1" ht="15" hidden="1" customHeight="1" x14ac:dyDescent="0.25">
      <c r="A75" s="49"/>
      <c r="B75" s="35"/>
      <c r="C75" s="35"/>
      <c r="D75" s="35"/>
      <c r="E75" s="35"/>
      <c r="F75" s="35"/>
      <c r="G75" s="34"/>
      <c r="H75" s="35"/>
      <c r="I75" s="43"/>
      <c r="J75" s="37"/>
      <c r="K75" s="37"/>
      <c r="L75" s="38"/>
      <c r="M75" s="39"/>
      <c r="N75" s="61"/>
      <c r="O75" s="27"/>
      <c r="P75" s="41"/>
      <c r="Q75" s="41"/>
      <c r="R75" s="14"/>
      <c r="S75" s="14"/>
      <c r="T75" s="63"/>
      <c r="U75" s="63"/>
      <c r="V75" s="63"/>
      <c r="W75" s="63"/>
      <c r="X75" s="62"/>
      <c r="Y75" s="14"/>
      <c r="Z75" s="14"/>
      <c r="AA75" s="106"/>
      <c r="AB75" s="100"/>
      <c r="AC75" s="100"/>
      <c r="AD75" s="100"/>
      <c r="AE75" s="100"/>
      <c r="AF75" s="100"/>
      <c r="AG75" s="100"/>
      <c r="AH75" s="100"/>
      <c r="AI75" s="100"/>
      <c r="AJ75" s="100"/>
      <c r="AK75" s="100"/>
      <c r="AL75" s="100"/>
      <c r="AM75" s="100"/>
      <c r="AN75" s="100"/>
      <c r="AO75" s="100"/>
      <c r="AP75" s="100"/>
      <c r="AQ75" s="100"/>
      <c r="AR75" s="100"/>
      <c r="AS75" s="100"/>
      <c r="AT75" s="100"/>
      <c r="AU75" s="100"/>
      <c r="AV75" s="100"/>
      <c r="AW75" s="109"/>
      <c r="AX75" s="100"/>
      <c r="AY75" s="130"/>
      <c r="AZ75" s="346"/>
      <c r="BA75" s="343"/>
      <c r="BB75" s="389"/>
      <c r="BC75" s="395"/>
      <c r="BD75" s="395"/>
      <c r="BE75" s="395"/>
      <c r="BF75" s="395"/>
      <c r="BG75" s="395"/>
      <c r="BH75" s="395"/>
      <c r="BI75" s="343"/>
      <c r="BJ75" s="357"/>
      <c r="BK75" s="357"/>
      <c r="BL75" s="357"/>
      <c r="BM75" s="357"/>
      <c r="BN75" s="357"/>
      <c r="BO75" s="357"/>
      <c r="BP75" s="357"/>
      <c r="BQ75" s="357"/>
      <c r="BR75" s="357"/>
      <c r="BS75" s="357"/>
      <c r="BT75" s="357"/>
      <c r="BU75" s="357"/>
      <c r="BV75" s="357"/>
      <c r="BW75" s="357"/>
      <c r="BX75" s="357"/>
      <c r="BY75" s="357"/>
      <c r="BZ75" s="357"/>
      <c r="CA75" s="357"/>
      <c r="CB75" s="357"/>
      <c r="CC75" s="357"/>
      <c r="CD75" s="357"/>
      <c r="CE75" s="357"/>
      <c r="CF75" s="357"/>
      <c r="CG75" s="357"/>
      <c r="CH75" s="357"/>
      <c r="CI75" s="357"/>
      <c r="CJ75" s="357"/>
      <c r="CK75" s="357"/>
      <c r="CL75" s="357"/>
      <c r="CM75" s="357"/>
      <c r="CN75" s="357"/>
      <c r="CO75" s="357"/>
      <c r="CP75" s="357"/>
      <c r="CQ75" s="357"/>
      <c r="CR75" s="357"/>
      <c r="CS75" s="357"/>
      <c r="CT75" s="359"/>
      <c r="CU75" s="359"/>
      <c r="CV75" s="359"/>
      <c r="CW75" s="357"/>
      <c r="CX75" s="357"/>
      <c r="CY75" s="357"/>
      <c r="CZ75" s="357"/>
      <c r="DA75" s="357"/>
      <c r="DB75" s="357"/>
      <c r="DC75" s="357"/>
      <c r="DD75" s="357"/>
      <c r="DE75" s="357"/>
      <c r="DF75" s="357"/>
      <c r="DG75" s="357"/>
      <c r="DH75" s="357"/>
      <c r="DI75" s="357"/>
      <c r="DJ75" s="357"/>
      <c r="DK75" s="357"/>
      <c r="DL75" s="359"/>
      <c r="DM75" s="359"/>
      <c r="DN75" s="408"/>
      <c r="DO75" s="408"/>
      <c r="DP75" s="408"/>
      <c r="DQ75" s="408"/>
      <c r="DR75" s="408"/>
      <c r="DS75" s="408"/>
      <c r="DT75" s="408"/>
      <c r="DU75" s="408"/>
      <c r="DV75" s="408"/>
      <c r="DW75" s="408"/>
      <c r="DX75" s="408"/>
      <c r="DY75" s="408"/>
      <c r="DZ75" s="408"/>
      <c r="EA75" s="359"/>
      <c r="EB75" s="359"/>
      <c r="EC75" s="359"/>
      <c r="ED75" s="359"/>
      <c r="EE75" s="359"/>
      <c r="EF75" s="359"/>
      <c r="EG75" s="359"/>
      <c r="EH75" s="359"/>
      <c r="EI75" s="359"/>
      <c r="EJ75" s="359"/>
      <c r="EK75" s="359"/>
      <c r="EL75" s="359"/>
      <c r="EM75" s="359"/>
      <c r="EN75" s="359"/>
      <c r="EO75" s="359"/>
      <c r="EP75" s="360"/>
      <c r="EQ75" s="360"/>
      <c r="ER75" s="360"/>
      <c r="ES75" s="360"/>
      <c r="ET75" s="360"/>
      <c r="EU75" s="360"/>
      <c r="EV75" s="360"/>
      <c r="EW75" s="361"/>
      <c r="EX75" s="360"/>
      <c r="EY75" s="360"/>
      <c r="EZ75" s="360"/>
      <c r="FA75" s="360"/>
      <c r="FB75" s="387"/>
      <c r="FC75" s="360"/>
      <c r="FD75" s="360"/>
      <c r="FE75" s="360"/>
      <c r="FF75" s="360"/>
      <c r="FG75" s="360"/>
      <c r="FH75" s="352"/>
      <c r="FI75" s="352"/>
      <c r="FJ75" s="352"/>
      <c r="FK75" s="352"/>
      <c r="FL75" s="352"/>
      <c r="FM75" s="352"/>
      <c r="FN75" s="352"/>
      <c r="FO75" s="345"/>
      <c r="FP75" s="345"/>
      <c r="FQ75" s="345"/>
      <c r="FR75" s="345"/>
      <c r="FS75" s="345"/>
      <c r="FT75" s="112"/>
      <c r="FU75" s="112"/>
      <c r="FV75" s="112"/>
      <c r="FW75" s="112"/>
      <c r="FX75" s="112"/>
      <c r="FY75" s="112"/>
      <c r="FZ75" s="112"/>
      <c r="GA75" s="112"/>
      <c r="GB75" s="112"/>
      <c r="GC75" s="112"/>
      <c r="GD75" s="112"/>
      <c r="GE75" s="112"/>
      <c r="GF75" s="112"/>
      <c r="GG75" s="112"/>
      <c r="GH75" s="112"/>
      <c r="GI75" s="112"/>
      <c r="GJ75" s="112"/>
      <c r="GK75" s="112"/>
      <c r="GL75" s="112"/>
      <c r="GM75" s="112"/>
      <c r="GN75" s="112"/>
      <c r="GO75" s="112"/>
      <c r="GP75" s="112"/>
      <c r="GQ75" s="112"/>
      <c r="GR75" s="112"/>
      <c r="GS75" s="112"/>
      <c r="GT75" s="119"/>
      <c r="GU75" s="119"/>
      <c r="GV75" s="119"/>
      <c r="GW75" s="119"/>
      <c r="GX75" s="119"/>
      <c r="GY75" s="119"/>
      <c r="GZ75" s="119"/>
      <c r="HA75" s="119"/>
      <c r="HB75" s="119"/>
      <c r="HC75" s="119"/>
      <c r="HD75" s="119"/>
      <c r="HE75" s="112"/>
      <c r="HF75" s="112"/>
      <c r="HG75" s="112"/>
      <c r="HH75" s="112"/>
      <c r="HI75" s="112"/>
      <c r="HJ75" s="112"/>
      <c r="HK75" s="112"/>
      <c r="HL75" s="112"/>
      <c r="HM75" s="112"/>
      <c r="HN75" s="112"/>
      <c r="HO75" s="112"/>
      <c r="HP75" s="112"/>
      <c r="HQ75" s="112"/>
      <c r="HR75" s="112"/>
      <c r="HS75" s="112"/>
      <c r="HT75" s="112"/>
      <c r="HU75" s="112"/>
      <c r="HV75" s="112"/>
      <c r="HW75" s="112"/>
      <c r="HX75" s="112"/>
      <c r="HY75" s="112"/>
      <c r="HZ75" s="112"/>
      <c r="IA75" s="112"/>
      <c r="IB75" s="111"/>
      <c r="IC75" s="111"/>
      <c r="ID75" s="111"/>
      <c r="IE75" s="111"/>
      <c r="IF75" s="112"/>
      <c r="IG75" s="112"/>
      <c r="IH75" s="112"/>
      <c r="II75" s="112"/>
      <c r="IJ75" s="112"/>
      <c r="IK75" s="112"/>
      <c r="IL75" s="112"/>
      <c r="IM75" s="111"/>
      <c r="IN75" s="114"/>
      <c r="IO75" s="114"/>
      <c r="IP75" s="111"/>
      <c r="IQ75" s="111"/>
      <c r="IR75" s="111"/>
      <c r="IS75" s="111"/>
      <c r="IT75" s="112"/>
      <c r="IU75" s="112"/>
      <c r="IV75" s="112"/>
      <c r="IW75" s="112"/>
      <c r="IX75" s="112"/>
      <c r="IY75" s="112"/>
      <c r="IZ75" s="112"/>
      <c r="JA75" s="112"/>
      <c r="JB75" s="112"/>
      <c r="JC75" s="112"/>
      <c r="JD75" s="112"/>
      <c r="JE75" s="111"/>
      <c r="JF75" s="112"/>
      <c r="JG75" s="112"/>
      <c r="JH75" s="112"/>
      <c r="JI75" s="112"/>
      <c r="JJ75" s="111"/>
      <c r="JK75" s="112"/>
      <c r="JL75" s="112"/>
      <c r="JM75" s="112"/>
      <c r="JN75" s="112"/>
      <c r="JO75" s="112"/>
      <c r="JP75" s="112"/>
      <c r="JQ75" s="112"/>
      <c r="JR75" s="112"/>
      <c r="JS75" s="111"/>
      <c r="JT75" s="112"/>
      <c r="JU75" s="111"/>
      <c r="JV75" s="112"/>
      <c r="JW75" s="111"/>
      <c r="JX75" s="112"/>
      <c r="JY75" s="111"/>
      <c r="JZ75" s="112"/>
      <c r="KA75" s="111"/>
    </row>
    <row r="76" spans="1:287" s="110" customFormat="1" ht="15" hidden="1" customHeight="1" x14ac:dyDescent="0.25">
      <c r="A76" s="11"/>
      <c r="B76" s="34"/>
      <c r="C76" s="34"/>
      <c r="D76" s="34"/>
      <c r="E76" s="34"/>
      <c r="F76" s="35"/>
      <c r="G76" s="35"/>
      <c r="H76" s="35"/>
      <c r="I76" s="43"/>
      <c r="J76" s="37"/>
      <c r="K76" s="37"/>
      <c r="L76" s="38"/>
      <c r="M76" s="39"/>
      <c r="N76" s="61"/>
      <c r="O76" s="27"/>
      <c r="P76" s="64"/>
      <c r="Q76" s="65"/>
      <c r="R76" s="14"/>
      <c r="S76" s="14"/>
      <c r="T76" s="14"/>
      <c r="U76" s="14"/>
      <c r="V76" s="65"/>
      <c r="W76" s="65"/>
      <c r="X76" s="62"/>
      <c r="Y76" s="14"/>
      <c r="Z76" s="14"/>
      <c r="AA76" s="106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9"/>
      <c r="AX76" s="100"/>
      <c r="AY76" s="130"/>
      <c r="AZ76" s="346"/>
      <c r="BA76" s="343"/>
      <c r="BB76" s="389"/>
      <c r="BC76" s="395"/>
      <c r="BD76" s="395"/>
      <c r="BE76" s="395"/>
      <c r="BF76" s="395"/>
      <c r="BG76" s="395"/>
      <c r="BH76" s="395"/>
      <c r="BI76" s="343"/>
      <c r="BJ76" s="357"/>
      <c r="BK76" s="357"/>
      <c r="BL76" s="357"/>
      <c r="BM76" s="357"/>
      <c r="BN76" s="357"/>
      <c r="BO76" s="357"/>
      <c r="BP76" s="357"/>
      <c r="BQ76" s="357"/>
      <c r="BR76" s="357"/>
      <c r="BS76" s="357"/>
      <c r="BT76" s="357"/>
      <c r="BU76" s="357"/>
      <c r="BV76" s="357"/>
      <c r="BW76" s="357"/>
      <c r="BX76" s="357"/>
      <c r="BY76" s="357"/>
      <c r="BZ76" s="357"/>
      <c r="CA76" s="357"/>
      <c r="CB76" s="357"/>
      <c r="CC76" s="357"/>
      <c r="CD76" s="357"/>
      <c r="CE76" s="357"/>
      <c r="CF76" s="357"/>
      <c r="CG76" s="357"/>
      <c r="CH76" s="357"/>
      <c r="CI76" s="357"/>
      <c r="CJ76" s="357"/>
      <c r="CK76" s="357"/>
      <c r="CL76" s="357"/>
      <c r="CM76" s="357"/>
      <c r="CN76" s="357"/>
      <c r="CO76" s="357"/>
      <c r="CP76" s="357"/>
      <c r="CQ76" s="357"/>
      <c r="CR76" s="357"/>
      <c r="CS76" s="357"/>
      <c r="CT76" s="359"/>
      <c r="CU76" s="359"/>
      <c r="CV76" s="359"/>
      <c r="CW76" s="357"/>
      <c r="CX76" s="357"/>
      <c r="CY76" s="357"/>
      <c r="CZ76" s="357"/>
      <c r="DA76" s="357"/>
      <c r="DB76" s="357"/>
      <c r="DC76" s="357"/>
      <c r="DD76" s="357"/>
      <c r="DE76" s="357"/>
      <c r="DF76" s="357"/>
      <c r="DG76" s="357"/>
      <c r="DH76" s="357"/>
      <c r="DI76" s="357"/>
      <c r="DJ76" s="357"/>
      <c r="DK76" s="357"/>
      <c r="DL76" s="359"/>
      <c r="DM76" s="359"/>
      <c r="DN76" s="408"/>
      <c r="DO76" s="408"/>
      <c r="DP76" s="408"/>
      <c r="DQ76" s="408"/>
      <c r="DR76" s="408"/>
      <c r="DS76" s="408"/>
      <c r="DT76" s="408"/>
      <c r="DU76" s="408"/>
      <c r="DV76" s="408"/>
      <c r="DW76" s="408"/>
      <c r="DX76" s="408"/>
      <c r="DY76" s="408"/>
      <c r="DZ76" s="408"/>
      <c r="EA76" s="359"/>
      <c r="EB76" s="359"/>
      <c r="EC76" s="359"/>
      <c r="ED76" s="359"/>
      <c r="EE76" s="359"/>
      <c r="EF76" s="359"/>
      <c r="EG76" s="359"/>
      <c r="EH76" s="359"/>
      <c r="EI76" s="359"/>
      <c r="EJ76" s="359"/>
      <c r="EK76" s="359"/>
      <c r="EL76" s="359"/>
      <c r="EM76" s="359"/>
      <c r="EN76" s="359"/>
      <c r="EO76" s="359"/>
      <c r="EP76" s="360"/>
      <c r="EQ76" s="360"/>
      <c r="ER76" s="360"/>
      <c r="ES76" s="360"/>
      <c r="ET76" s="360"/>
      <c r="EU76" s="360"/>
      <c r="EV76" s="360"/>
      <c r="EW76" s="361"/>
      <c r="EX76" s="360"/>
      <c r="EY76" s="360"/>
      <c r="EZ76" s="360"/>
      <c r="FA76" s="360"/>
      <c r="FB76" s="387"/>
      <c r="FC76" s="360"/>
      <c r="FD76" s="360"/>
      <c r="FE76" s="360"/>
      <c r="FF76" s="360"/>
      <c r="FG76" s="360"/>
      <c r="FH76" s="352"/>
      <c r="FI76" s="352"/>
      <c r="FJ76" s="352"/>
      <c r="FK76" s="352"/>
      <c r="FL76" s="352"/>
      <c r="FM76" s="352"/>
      <c r="FN76" s="352"/>
      <c r="FO76" s="345"/>
      <c r="FP76" s="345"/>
      <c r="FQ76" s="345"/>
      <c r="FR76" s="345"/>
      <c r="FS76" s="345"/>
      <c r="FT76" s="112"/>
      <c r="FU76" s="112"/>
      <c r="FV76" s="112"/>
      <c r="FW76" s="112"/>
      <c r="FX76" s="112"/>
      <c r="FY76" s="112"/>
      <c r="FZ76" s="112"/>
      <c r="GA76" s="112"/>
      <c r="GB76" s="112"/>
      <c r="GC76" s="112"/>
      <c r="GD76" s="112"/>
      <c r="GE76" s="112"/>
      <c r="GF76" s="112"/>
      <c r="GG76" s="112"/>
      <c r="GH76" s="112"/>
      <c r="GI76" s="112"/>
      <c r="GJ76" s="112"/>
      <c r="GK76" s="112"/>
      <c r="GL76" s="112"/>
      <c r="GM76" s="112"/>
      <c r="GN76" s="112"/>
      <c r="GO76" s="112"/>
      <c r="GP76" s="112"/>
      <c r="GQ76" s="112"/>
      <c r="GR76" s="112"/>
      <c r="GS76" s="112"/>
      <c r="GT76" s="112"/>
      <c r="GU76" s="112"/>
      <c r="GV76" s="112"/>
      <c r="GW76" s="112"/>
      <c r="GX76" s="112"/>
      <c r="GY76" s="112"/>
      <c r="GZ76" s="112"/>
      <c r="HA76" s="112"/>
      <c r="HB76" s="112"/>
      <c r="HC76" s="112"/>
      <c r="HD76" s="112"/>
      <c r="HE76" s="112"/>
      <c r="HF76" s="112"/>
      <c r="HG76" s="112"/>
      <c r="HH76" s="112"/>
      <c r="HI76" s="112"/>
      <c r="HJ76" s="112"/>
      <c r="HK76" s="112"/>
      <c r="HL76" s="112"/>
      <c r="HM76" s="112"/>
      <c r="HN76" s="112"/>
      <c r="HO76" s="112"/>
      <c r="HP76" s="112"/>
      <c r="HQ76" s="112"/>
      <c r="HR76" s="112"/>
      <c r="HS76" s="112"/>
      <c r="HT76" s="112"/>
      <c r="HU76" s="112"/>
      <c r="HV76" s="112"/>
      <c r="HW76" s="112"/>
      <c r="HX76" s="112"/>
      <c r="HY76" s="112"/>
      <c r="HZ76" s="112"/>
      <c r="IA76" s="112"/>
      <c r="IB76" s="111"/>
      <c r="IC76" s="111"/>
      <c r="ID76" s="111"/>
      <c r="IE76" s="111"/>
      <c r="IF76" s="112"/>
      <c r="IG76" s="112"/>
      <c r="IH76" s="112"/>
      <c r="II76" s="112"/>
      <c r="IJ76" s="112"/>
      <c r="IK76" s="112"/>
      <c r="IL76" s="112"/>
      <c r="IM76" s="111"/>
      <c r="IN76" s="114"/>
      <c r="IO76" s="114"/>
      <c r="IP76" s="111"/>
      <c r="IQ76" s="111"/>
      <c r="IR76" s="111"/>
      <c r="IS76" s="111"/>
      <c r="IT76" s="112"/>
      <c r="IU76" s="112"/>
      <c r="IV76" s="112"/>
      <c r="IW76" s="112"/>
      <c r="IX76" s="112"/>
      <c r="IY76" s="112"/>
      <c r="IZ76" s="112"/>
      <c r="JA76" s="112"/>
      <c r="JB76" s="112"/>
      <c r="JC76" s="112"/>
      <c r="JD76" s="112"/>
      <c r="JE76" s="111"/>
      <c r="JF76" s="112"/>
      <c r="JG76" s="112"/>
      <c r="JH76" s="112"/>
      <c r="JI76" s="112"/>
      <c r="JJ76" s="111"/>
      <c r="JK76" s="112"/>
      <c r="JL76" s="112"/>
      <c r="JM76" s="112"/>
      <c r="JN76" s="112"/>
      <c r="JO76" s="112"/>
      <c r="JP76" s="112"/>
      <c r="JQ76" s="112"/>
      <c r="JR76" s="112"/>
      <c r="JS76" s="111"/>
      <c r="JT76" s="112"/>
      <c r="JU76" s="111"/>
      <c r="JV76" s="112"/>
      <c r="JW76" s="111"/>
      <c r="JX76" s="112"/>
      <c r="JY76" s="111"/>
      <c r="JZ76" s="112"/>
      <c r="KA76" s="111"/>
    </row>
    <row r="77" spans="1:287" ht="15" hidden="1" customHeight="1" x14ac:dyDescent="0.25">
      <c r="A77" s="11"/>
      <c r="B77" s="34"/>
      <c r="C77" s="34"/>
      <c r="D77" s="34"/>
      <c r="E77" s="34"/>
      <c r="F77" s="35"/>
      <c r="G77" s="34"/>
      <c r="H77" s="35"/>
      <c r="I77" s="66"/>
      <c r="J77" s="37"/>
      <c r="K77" s="37"/>
      <c r="L77" s="38"/>
      <c r="M77" s="39"/>
      <c r="N77" s="61"/>
      <c r="O77" s="27"/>
      <c r="P77" s="67"/>
      <c r="Q77" s="68"/>
      <c r="V77" s="69"/>
      <c r="W77" s="62"/>
      <c r="X77" s="62"/>
      <c r="Y77" s="12"/>
      <c r="Z77" s="12"/>
      <c r="AA77" s="105"/>
    </row>
    <row r="78" spans="1:287" ht="15" hidden="1" customHeight="1" x14ac:dyDescent="0.25">
      <c r="A78" s="11"/>
      <c r="B78" s="34"/>
      <c r="C78" s="34"/>
      <c r="D78" s="34"/>
      <c r="E78" s="34"/>
      <c r="F78" s="35"/>
      <c r="G78" s="35"/>
      <c r="H78" s="35"/>
      <c r="I78" s="66"/>
      <c r="J78" s="37"/>
      <c r="K78" s="37"/>
      <c r="L78" s="38"/>
      <c r="M78" s="39"/>
      <c r="N78" s="61"/>
      <c r="O78" s="27"/>
      <c r="P78" s="41"/>
      <c r="Q78" s="41"/>
      <c r="V78" s="41"/>
      <c r="W78" s="62"/>
      <c r="X78" s="62"/>
      <c r="Y78" s="12"/>
      <c r="Z78" s="12"/>
      <c r="AA78" s="105"/>
    </row>
    <row r="79" spans="1:287" ht="15" hidden="1" customHeight="1" x14ac:dyDescent="0.25">
      <c r="A79" s="11"/>
      <c r="B79" s="34"/>
      <c r="C79" s="34"/>
      <c r="D79" s="34"/>
      <c r="E79" s="34"/>
      <c r="F79" s="35"/>
      <c r="G79" s="34"/>
      <c r="H79" s="35"/>
      <c r="I79" s="66"/>
      <c r="J79" s="37"/>
      <c r="K79" s="37"/>
      <c r="L79" s="39"/>
      <c r="M79" s="39"/>
      <c r="N79" s="69"/>
      <c r="O79" s="69"/>
      <c r="P79" s="69"/>
      <c r="Q79" s="69"/>
      <c r="V79" s="69"/>
      <c r="W79" s="69"/>
      <c r="X79" s="69"/>
      <c r="Y79" s="12"/>
      <c r="Z79" s="12"/>
      <c r="AA79" s="105"/>
    </row>
    <row r="80" spans="1:287" ht="15" hidden="1" customHeight="1" x14ac:dyDescent="0.25">
      <c r="A80" s="11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12"/>
      <c r="Z80" s="12"/>
      <c r="AA80" s="105"/>
    </row>
    <row r="81" spans="1:175" s="112" customFormat="1" ht="15" hidden="1" customHeight="1" x14ac:dyDescent="0.25">
      <c r="A81" s="11"/>
      <c r="B81" s="11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12"/>
      <c r="Z81" s="12"/>
      <c r="AA81" s="105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9"/>
      <c r="AX81" s="100"/>
      <c r="AY81" s="130"/>
      <c r="AZ81" s="346"/>
      <c r="BA81" s="343"/>
      <c r="BB81" s="389"/>
      <c r="BC81" s="395"/>
      <c r="BD81" s="395"/>
      <c r="BE81" s="395"/>
      <c r="BF81" s="395"/>
      <c r="BG81" s="395"/>
      <c r="BH81" s="395"/>
      <c r="BI81" s="343"/>
      <c r="BJ81" s="357"/>
      <c r="BK81" s="357"/>
      <c r="BL81" s="357"/>
      <c r="BM81" s="357"/>
      <c r="BN81" s="357"/>
      <c r="BO81" s="357"/>
      <c r="BP81" s="357"/>
      <c r="BQ81" s="359"/>
      <c r="BR81" s="359"/>
      <c r="BS81" s="359"/>
      <c r="BT81" s="359"/>
      <c r="BU81" s="359"/>
      <c r="BV81" s="359"/>
      <c r="BW81" s="359"/>
      <c r="BX81" s="359"/>
      <c r="BY81" s="359"/>
      <c r="BZ81" s="359"/>
      <c r="CA81" s="359"/>
      <c r="CB81" s="359"/>
      <c r="CC81" s="359"/>
      <c r="CD81" s="359"/>
      <c r="CE81" s="359"/>
      <c r="CF81" s="359"/>
      <c r="CG81" s="359"/>
      <c r="CH81" s="359"/>
      <c r="CI81" s="359"/>
      <c r="CJ81" s="359"/>
      <c r="CK81" s="359"/>
      <c r="CL81" s="359"/>
      <c r="CM81" s="359"/>
      <c r="CN81" s="359"/>
      <c r="CO81" s="359"/>
      <c r="CP81" s="359"/>
      <c r="CQ81" s="359"/>
      <c r="CR81" s="359"/>
      <c r="CS81" s="359"/>
      <c r="CT81" s="359"/>
      <c r="CU81" s="359"/>
      <c r="CV81" s="359"/>
      <c r="CW81" s="359"/>
      <c r="CX81" s="359"/>
      <c r="CY81" s="359"/>
      <c r="CZ81" s="359"/>
      <c r="DA81" s="359"/>
      <c r="DB81" s="359"/>
      <c r="DC81" s="359"/>
      <c r="DD81" s="359"/>
      <c r="DE81" s="359"/>
      <c r="DF81" s="359"/>
      <c r="DG81" s="359"/>
      <c r="DH81" s="359"/>
      <c r="DI81" s="359"/>
      <c r="DJ81" s="359"/>
      <c r="DK81" s="359"/>
      <c r="DL81" s="359"/>
      <c r="DM81" s="359"/>
      <c r="DN81" s="408"/>
      <c r="DO81" s="408"/>
      <c r="DP81" s="408"/>
      <c r="DQ81" s="408"/>
      <c r="DR81" s="408"/>
      <c r="DS81" s="408"/>
      <c r="DT81" s="408"/>
      <c r="DU81" s="408"/>
      <c r="DV81" s="408"/>
      <c r="DW81" s="408"/>
      <c r="DX81" s="408"/>
      <c r="DY81" s="408"/>
      <c r="DZ81" s="408"/>
      <c r="EA81" s="359"/>
      <c r="EB81" s="359"/>
      <c r="EC81" s="359"/>
      <c r="ED81" s="359"/>
      <c r="EE81" s="359"/>
      <c r="EF81" s="359"/>
      <c r="EG81" s="359"/>
      <c r="EH81" s="359"/>
      <c r="EI81" s="359"/>
      <c r="EJ81" s="359"/>
      <c r="EK81" s="359"/>
      <c r="EL81" s="359"/>
      <c r="EM81" s="359"/>
      <c r="EN81" s="359"/>
      <c r="EO81" s="359"/>
      <c r="EP81" s="360"/>
      <c r="EQ81" s="360"/>
      <c r="ER81" s="360"/>
      <c r="ES81" s="360"/>
      <c r="ET81" s="360"/>
      <c r="EU81" s="360"/>
      <c r="EV81" s="360"/>
      <c r="EW81" s="360"/>
      <c r="EX81" s="360"/>
      <c r="EY81" s="360"/>
      <c r="EZ81" s="360"/>
      <c r="FA81" s="360"/>
      <c r="FB81" s="360"/>
      <c r="FC81" s="360"/>
      <c r="FD81" s="360"/>
      <c r="FE81" s="360"/>
      <c r="FF81" s="360"/>
      <c r="FG81" s="360"/>
      <c r="FH81" s="352"/>
      <c r="FI81" s="352"/>
      <c r="FJ81" s="352"/>
      <c r="FK81" s="352"/>
      <c r="FL81" s="352"/>
      <c r="FM81" s="352"/>
      <c r="FN81" s="352"/>
      <c r="FO81" s="345"/>
      <c r="FP81" s="345"/>
      <c r="FQ81" s="345"/>
      <c r="FR81" s="345"/>
      <c r="FS81" s="345"/>
    </row>
    <row r="82" spans="1:175" s="112" customFormat="1" ht="11.25" hidden="1" customHeight="1" x14ac:dyDescent="0.25">
      <c r="A82" s="11"/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1"/>
      <c r="V82" s="71"/>
      <c r="W82" s="12"/>
      <c r="X82" s="12"/>
      <c r="Y82" s="12"/>
      <c r="Z82" s="12"/>
      <c r="AA82" s="105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9"/>
      <c r="AX82" s="100"/>
      <c r="AY82" s="130"/>
      <c r="AZ82" s="346"/>
      <c r="BA82" s="343"/>
      <c r="BB82" s="389"/>
      <c r="BC82" s="395"/>
      <c r="BD82" s="395"/>
      <c r="BE82" s="395"/>
      <c r="BF82" s="395"/>
      <c r="BG82" s="395"/>
      <c r="BH82" s="395"/>
      <c r="BI82" s="343"/>
      <c r="BJ82" s="357"/>
      <c r="BK82" s="357"/>
      <c r="BL82" s="357"/>
      <c r="BM82" s="357"/>
      <c r="BN82" s="357"/>
      <c r="BO82" s="357"/>
      <c r="BP82" s="357"/>
      <c r="BQ82" s="359"/>
      <c r="BR82" s="359"/>
      <c r="BS82" s="359"/>
      <c r="BT82" s="359"/>
      <c r="BU82" s="359"/>
      <c r="BV82" s="359"/>
      <c r="BW82" s="359"/>
      <c r="BX82" s="359"/>
      <c r="BY82" s="359"/>
      <c r="BZ82" s="359"/>
      <c r="CA82" s="359"/>
      <c r="CB82" s="359"/>
      <c r="CC82" s="359"/>
      <c r="CD82" s="359"/>
      <c r="CE82" s="359"/>
      <c r="CF82" s="359"/>
      <c r="CG82" s="359"/>
      <c r="CH82" s="359"/>
      <c r="CI82" s="359"/>
      <c r="CJ82" s="359"/>
      <c r="CK82" s="359"/>
      <c r="CL82" s="359"/>
      <c r="CM82" s="359"/>
      <c r="CN82" s="359"/>
      <c r="CO82" s="359"/>
      <c r="CP82" s="359"/>
      <c r="CQ82" s="359"/>
      <c r="CR82" s="359"/>
      <c r="CS82" s="359"/>
      <c r="CT82" s="359"/>
      <c r="CU82" s="359"/>
      <c r="CV82" s="359"/>
      <c r="CW82" s="359"/>
      <c r="CX82" s="359"/>
      <c r="CY82" s="359"/>
      <c r="CZ82" s="359"/>
      <c r="DA82" s="359"/>
      <c r="DB82" s="359"/>
      <c r="DC82" s="359"/>
      <c r="DD82" s="359"/>
      <c r="DE82" s="359"/>
      <c r="DF82" s="359"/>
      <c r="DG82" s="359"/>
      <c r="DH82" s="359"/>
      <c r="DI82" s="359"/>
      <c r="DJ82" s="359"/>
      <c r="DK82" s="359"/>
      <c r="DL82" s="359"/>
      <c r="DM82" s="359"/>
      <c r="DN82" s="408"/>
      <c r="DO82" s="408"/>
      <c r="DP82" s="408"/>
      <c r="DQ82" s="408"/>
      <c r="DR82" s="408"/>
      <c r="DS82" s="408"/>
      <c r="DT82" s="408"/>
      <c r="DU82" s="408"/>
      <c r="DV82" s="408"/>
      <c r="DW82" s="408"/>
      <c r="DX82" s="408"/>
      <c r="DY82" s="408"/>
      <c r="DZ82" s="408"/>
      <c r="EA82" s="359"/>
      <c r="EB82" s="359"/>
      <c r="EC82" s="359"/>
      <c r="ED82" s="359"/>
      <c r="EE82" s="359"/>
      <c r="EF82" s="359"/>
      <c r="EG82" s="359"/>
      <c r="EH82" s="359"/>
      <c r="EI82" s="359"/>
      <c r="EJ82" s="359"/>
      <c r="EK82" s="359"/>
      <c r="EL82" s="359"/>
      <c r="EM82" s="359"/>
      <c r="EN82" s="359"/>
      <c r="EO82" s="359"/>
      <c r="EP82" s="360"/>
      <c r="EQ82" s="360"/>
      <c r="ER82" s="360"/>
      <c r="ES82" s="360"/>
      <c r="ET82" s="360"/>
      <c r="EU82" s="360"/>
      <c r="EV82" s="360"/>
      <c r="EW82" s="360"/>
      <c r="EX82" s="360"/>
      <c r="EY82" s="360"/>
      <c r="EZ82" s="360"/>
      <c r="FA82" s="360"/>
      <c r="FB82" s="360"/>
      <c r="FC82" s="360"/>
      <c r="FD82" s="360"/>
      <c r="FE82" s="360"/>
      <c r="FF82" s="360"/>
      <c r="FG82" s="360"/>
      <c r="FH82" s="352"/>
      <c r="FI82" s="352"/>
      <c r="FJ82" s="352"/>
      <c r="FK82" s="352"/>
      <c r="FL82" s="352"/>
      <c r="FM82" s="352"/>
      <c r="FN82" s="352"/>
      <c r="FO82" s="345"/>
      <c r="FP82" s="345"/>
      <c r="FQ82" s="345"/>
      <c r="FR82" s="345"/>
      <c r="FS82" s="345"/>
    </row>
    <row r="83" spans="1:175" s="112" customFormat="1" ht="11.25" hidden="1" customHeight="1" x14ac:dyDescent="0.25">
      <c r="A83" s="11"/>
      <c r="B83" s="72"/>
      <c r="C83" s="71"/>
      <c r="D83" s="71"/>
      <c r="E83" s="71"/>
      <c r="F83" s="71"/>
      <c r="G83" s="71"/>
      <c r="H83" s="73"/>
      <c r="I83" s="74"/>
      <c r="J83" s="73"/>
      <c r="K83" s="70"/>
      <c r="L83" s="70"/>
      <c r="M83" s="73"/>
      <c r="N83" s="75"/>
      <c r="O83" s="75"/>
      <c r="P83" s="21"/>
      <c r="Q83" s="21"/>
      <c r="R83" s="73"/>
      <c r="S83" s="74"/>
      <c r="T83" s="73"/>
      <c r="U83" s="27"/>
      <c r="V83" s="27"/>
      <c r="W83" s="12"/>
      <c r="X83" s="12"/>
      <c r="Y83" s="12"/>
      <c r="Z83" s="12"/>
      <c r="AA83" s="105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9"/>
      <c r="AX83" s="100"/>
      <c r="AY83" s="130"/>
      <c r="AZ83" s="346"/>
      <c r="BA83" s="343"/>
      <c r="BB83" s="389"/>
      <c r="BC83" s="395"/>
      <c r="BD83" s="395"/>
      <c r="BE83" s="395"/>
      <c r="BF83" s="395"/>
      <c r="BG83" s="395"/>
      <c r="BH83" s="395"/>
      <c r="BI83" s="343"/>
      <c r="BJ83" s="357"/>
      <c r="BK83" s="357"/>
      <c r="BL83" s="357"/>
      <c r="BM83" s="357"/>
      <c r="BN83" s="357"/>
      <c r="BO83" s="357"/>
      <c r="BP83" s="357"/>
      <c r="BQ83" s="359"/>
      <c r="BR83" s="359"/>
      <c r="BS83" s="359"/>
      <c r="BT83" s="359"/>
      <c r="BU83" s="359"/>
      <c r="BV83" s="359"/>
      <c r="BW83" s="359"/>
      <c r="BX83" s="359"/>
      <c r="BY83" s="359"/>
      <c r="BZ83" s="359"/>
      <c r="CA83" s="359"/>
      <c r="CB83" s="359"/>
      <c r="CC83" s="359"/>
      <c r="CD83" s="359"/>
      <c r="CE83" s="359"/>
      <c r="CF83" s="359"/>
      <c r="CG83" s="359"/>
      <c r="CH83" s="359"/>
      <c r="CI83" s="359"/>
      <c r="CJ83" s="359"/>
      <c r="CK83" s="359"/>
      <c r="CL83" s="359"/>
      <c r="CM83" s="359"/>
      <c r="CN83" s="359"/>
      <c r="CO83" s="359"/>
      <c r="CP83" s="359"/>
      <c r="CQ83" s="359"/>
      <c r="CR83" s="359"/>
      <c r="CS83" s="359"/>
      <c r="CT83" s="359"/>
      <c r="CU83" s="359"/>
      <c r="CV83" s="359"/>
      <c r="CW83" s="359"/>
      <c r="CX83" s="359"/>
      <c r="CY83" s="359"/>
      <c r="CZ83" s="359"/>
      <c r="DA83" s="359"/>
      <c r="DB83" s="359"/>
      <c r="DC83" s="359"/>
      <c r="DD83" s="359"/>
      <c r="DE83" s="359"/>
      <c r="DF83" s="359"/>
      <c r="DG83" s="359"/>
      <c r="DH83" s="359"/>
      <c r="DI83" s="359"/>
      <c r="DJ83" s="359"/>
      <c r="DK83" s="359"/>
      <c r="DL83" s="359"/>
      <c r="DM83" s="359"/>
      <c r="DN83" s="408"/>
      <c r="DO83" s="408"/>
      <c r="DP83" s="408"/>
      <c r="DQ83" s="408"/>
      <c r="DR83" s="408"/>
      <c r="DS83" s="408"/>
      <c r="DT83" s="408"/>
      <c r="DU83" s="408"/>
      <c r="DV83" s="408"/>
      <c r="DW83" s="408"/>
      <c r="DX83" s="408"/>
      <c r="DY83" s="408"/>
      <c r="DZ83" s="408"/>
      <c r="EA83" s="359"/>
      <c r="EB83" s="359"/>
      <c r="EC83" s="359"/>
      <c r="ED83" s="359"/>
      <c r="EE83" s="359"/>
      <c r="EF83" s="359"/>
      <c r="EG83" s="359"/>
      <c r="EH83" s="359"/>
      <c r="EI83" s="359"/>
      <c r="EJ83" s="359"/>
      <c r="EK83" s="359"/>
      <c r="EL83" s="359"/>
      <c r="EM83" s="359"/>
      <c r="EN83" s="359"/>
      <c r="EO83" s="359"/>
      <c r="EP83" s="360"/>
      <c r="EQ83" s="360"/>
      <c r="ER83" s="360"/>
      <c r="ES83" s="360"/>
      <c r="ET83" s="360"/>
      <c r="EU83" s="360"/>
      <c r="EV83" s="360"/>
      <c r="EW83" s="360"/>
      <c r="EX83" s="360"/>
      <c r="EY83" s="360"/>
      <c r="EZ83" s="360"/>
      <c r="FA83" s="360"/>
      <c r="FB83" s="360"/>
      <c r="FC83" s="360"/>
      <c r="FD83" s="360"/>
      <c r="FE83" s="360"/>
      <c r="FF83" s="360"/>
      <c r="FG83" s="360"/>
      <c r="FH83" s="352"/>
      <c r="FI83" s="352"/>
      <c r="FJ83" s="352"/>
      <c r="FK83" s="352"/>
      <c r="FL83" s="352"/>
      <c r="FM83" s="352"/>
      <c r="FN83" s="352"/>
      <c r="FO83" s="345"/>
      <c r="FP83" s="345"/>
      <c r="FQ83" s="345"/>
      <c r="FR83" s="345"/>
      <c r="FS83" s="345"/>
    </row>
    <row r="84" spans="1:175" s="112" customFormat="1" ht="11.25" hidden="1" customHeight="1" x14ac:dyDescent="0.25">
      <c r="A84" s="11"/>
      <c r="B84" s="20"/>
      <c r="C84" s="71"/>
      <c r="D84" s="71"/>
      <c r="E84" s="71"/>
      <c r="F84" s="71"/>
      <c r="G84" s="76"/>
      <c r="H84" s="21"/>
      <c r="I84" s="21"/>
      <c r="J84" s="21"/>
      <c r="K84" s="67"/>
      <c r="L84" s="67"/>
      <c r="M84" s="67"/>
      <c r="N84" s="67"/>
      <c r="O84" s="67"/>
      <c r="P84" s="67"/>
      <c r="Q84" s="67"/>
      <c r="R84" s="67"/>
      <c r="S84" s="75"/>
      <c r="T84" s="67"/>
      <c r="U84" s="46"/>
      <c r="V84" s="46"/>
      <c r="W84" s="12"/>
      <c r="X84" s="12"/>
      <c r="Y84" s="12"/>
      <c r="Z84" s="12"/>
      <c r="AA84" s="105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9"/>
      <c r="AX84" s="100"/>
      <c r="AY84" s="130"/>
      <c r="AZ84" s="346"/>
      <c r="BA84" s="343"/>
      <c r="BB84" s="389"/>
      <c r="BC84" s="395"/>
      <c r="BD84" s="395"/>
      <c r="BE84" s="395"/>
      <c r="BF84" s="395"/>
      <c r="BG84" s="395"/>
      <c r="BH84" s="395"/>
      <c r="BI84" s="343"/>
      <c r="BJ84" s="357"/>
      <c r="BK84" s="357"/>
      <c r="BL84" s="357"/>
      <c r="BM84" s="357"/>
      <c r="BN84" s="357"/>
      <c r="BO84" s="357"/>
      <c r="BP84" s="357"/>
      <c r="BQ84" s="359"/>
      <c r="BR84" s="359"/>
      <c r="BS84" s="359"/>
      <c r="BT84" s="359"/>
      <c r="BU84" s="359"/>
      <c r="BV84" s="359"/>
      <c r="BW84" s="359"/>
      <c r="BX84" s="359"/>
      <c r="BY84" s="359"/>
      <c r="BZ84" s="359"/>
      <c r="CA84" s="359"/>
      <c r="CB84" s="359"/>
      <c r="CC84" s="359"/>
      <c r="CD84" s="359"/>
      <c r="CE84" s="359"/>
      <c r="CF84" s="359"/>
      <c r="CG84" s="359"/>
      <c r="CH84" s="359"/>
      <c r="CI84" s="359"/>
      <c r="CJ84" s="359"/>
      <c r="CK84" s="359"/>
      <c r="CL84" s="359"/>
      <c r="CM84" s="359"/>
      <c r="CN84" s="359"/>
      <c r="CO84" s="359"/>
      <c r="CP84" s="359"/>
      <c r="CQ84" s="359"/>
      <c r="CR84" s="359"/>
      <c r="CS84" s="359"/>
      <c r="CT84" s="359"/>
      <c r="CU84" s="359"/>
      <c r="CV84" s="359"/>
      <c r="CW84" s="359"/>
      <c r="CX84" s="359"/>
      <c r="CY84" s="359"/>
      <c r="CZ84" s="359"/>
      <c r="DA84" s="359"/>
      <c r="DB84" s="359"/>
      <c r="DC84" s="359"/>
      <c r="DD84" s="359"/>
      <c r="DE84" s="359"/>
      <c r="DF84" s="359"/>
      <c r="DG84" s="359"/>
      <c r="DH84" s="359"/>
      <c r="DI84" s="359"/>
      <c r="DJ84" s="359"/>
      <c r="DK84" s="359"/>
      <c r="DL84" s="359"/>
      <c r="DM84" s="359"/>
      <c r="DN84" s="408"/>
      <c r="DO84" s="408"/>
      <c r="DP84" s="408"/>
      <c r="DQ84" s="408"/>
      <c r="DR84" s="408"/>
      <c r="DS84" s="408"/>
      <c r="DT84" s="408"/>
      <c r="DU84" s="408"/>
      <c r="DV84" s="408"/>
      <c r="DW84" s="408"/>
      <c r="DX84" s="408"/>
      <c r="DY84" s="408"/>
      <c r="DZ84" s="408"/>
      <c r="EA84" s="359"/>
      <c r="EB84" s="359"/>
      <c r="EC84" s="359"/>
      <c r="ED84" s="359"/>
      <c r="EE84" s="359"/>
      <c r="EF84" s="359"/>
      <c r="EG84" s="359"/>
      <c r="EH84" s="359"/>
      <c r="EI84" s="359"/>
      <c r="EJ84" s="359"/>
      <c r="EK84" s="359"/>
      <c r="EL84" s="359"/>
      <c r="EM84" s="359"/>
      <c r="EN84" s="359"/>
      <c r="EO84" s="359"/>
      <c r="EP84" s="360"/>
      <c r="EQ84" s="360"/>
      <c r="ER84" s="360"/>
      <c r="ES84" s="360"/>
      <c r="ET84" s="360"/>
      <c r="EU84" s="360"/>
      <c r="EV84" s="360"/>
      <c r="EW84" s="360"/>
      <c r="EX84" s="360"/>
      <c r="EY84" s="360"/>
      <c r="EZ84" s="360"/>
      <c r="FA84" s="360"/>
      <c r="FB84" s="360"/>
      <c r="FC84" s="360"/>
      <c r="FD84" s="360"/>
      <c r="FE84" s="360"/>
      <c r="FF84" s="360"/>
      <c r="FG84" s="360"/>
      <c r="FH84" s="352"/>
      <c r="FI84" s="352"/>
      <c r="FJ84" s="352"/>
      <c r="FK84" s="352"/>
      <c r="FL84" s="352"/>
      <c r="FM84" s="352"/>
      <c r="FN84" s="352"/>
      <c r="FO84" s="345"/>
      <c r="FP84" s="345"/>
      <c r="FQ84" s="345"/>
      <c r="FR84" s="345"/>
      <c r="FS84" s="345"/>
    </row>
    <row r="85" spans="1:175" s="112" customFormat="1" ht="11.25" hidden="1" customHeight="1" x14ac:dyDescent="0.25">
      <c r="A85" s="11"/>
      <c r="B85" s="20"/>
      <c r="C85" s="71"/>
      <c r="D85" s="71"/>
      <c r="E85" s="71"/>
      <c r="F85" s="71"/>
      <c r="G85" s="76"/>
      <c r="H85" s="21"/>
      <c r="I85" s="21"/>
      <c r="J85" s="21"/>
      <c r="K85" s="67"/>
      <c r="L85" s="67"/>
      <c r="M85" s="67"/>
      <c r="N85" s="67"/>
      <c r="O85" s="67"/>
      <c r="P85" s="67"/>
      <c r="Q85" s="67"/>
      <c r="R85" s="77"/>
      <c r="S85" s="77"/>
      <c r="T85" s="77"/>
      <c r="U85" s="46"/>
      <c r="V85" s="46"/>
      <c r="W85" s="12"/>
      <c r="X85" s="12"/>
      <c r="Y85" s="12"/>
      <c r="Z85" s="12"/>
      <c r="AA85" s="105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9"/>
      <c r="AX85" s="100"/>
      <c r="AY85" s="130"/>
      <c r="AZ85" s="346"/>
      <c r="BA85" s="343"/>
      <c r="BB85" s="389"/>
      <c r="BC85" s="395"/>
      <c r="BD85" s="395"/>
      <c r="BE85" s="395"/>
      <c r="BF85" s="395"/>
      <c r="BG85" s="395"/>
      <c r="BH85" s="395"/>
      <c r="BI85" s="343"/>
      <c r="BJ85" s="357"/>
      <c r="BK85" s="357"/>
      <c r="BL85" s="357"/>
      <c r="BM85" s="357"/>
      <c r="BN85" s="357"/>
      <c r="BO85" s="357"/>
      <c r="BP85" s="357"/>
      <c r="BQ85" s="359"/>
      <c r="BR85" s="359"/>
      <c r="BS85" s="359"/>
      <c r="BT85" s="359"/>
      <c r="BU85" s="359"/>
      <c r="BV85" s="359"/>
      <c r="BW85" s="359"/>
      <c r="BX85" s="359"/>
      <c r="BY85" s="359"/>
      <c r="BZ85" s="359"/>
      <c r="CA85" s="359"/>
      <c r="CB85" s="359"/>
      <c r="CC85" s="359"/>
      <c r="CD85" s="359"/>
      <c r="CE85" s="359"/>
      <c r="CF85" s="359"/>
      <c r="CG85" s="359"/>
      <c r="CH85" s="359"/>
      <c r="CI85" s="359"/>
      <c r="CJ85" s="359"/>
      <c r="CK85" s="359"/>
      <c r="CL85" s="359"/>
      <c r="CM85" s="359"/>
      <c r="CN85" s="359"/>
      <c r="CO85" s="359"/>
      <c r="CP85" s="359"/>
      <c r="CQ85" s="359"/>
      <c r="CR85" s="359"/>
      <c r="CS85" s="359"/>
      <c r="CT85" s="359"/>
      <c r="CU85" s="359"/>
      <c r="CV85" s="359"/>
      <c r="CW85" s="359"/>
      <c r="CX85" s="359"/>
      <c r="CY85" s="359"/>
      <c r="CZ85" s="359"/>
      <c r="DA85" s="359"/>
      <c r="DB85" s="359"/>
      <c r="DC85" s="359"/>
      <c r="DD85" s="359"/>
      <c r="DE85" s="359"/>
      <c r="DF85" s="359"/>
      <c r="DG85" s="359"/>
      <c r="DH85" s="359"/>
      <c r="DI85" s="359"/>
      <c r="DJ85" s="359"/>
      <c r="DK85" s="359"/>
      <c r="DL85" s="359"/>
      <c r="DM85" s="359"/>
      <c r="DN85" s="408"/>
      <c r="DO85" s="408"/>
      <c r="DP85" s="408"/>
      <c r="DQ85" s="408"/>
      <c r="DR85" s="408"/>
      <c r="DS85" s="408"/>
      <c r="DT85" s="408"/>
      <c r="DU85" s="408"/>
      <c r="DV85" s="408"/>
      <c r="DW85" s="408"/>
      <c r="DX85" s="408"/>
      <c r="DY85" s="408"/>
      <c r="DZ85" s="408"/>
      <c r="EA85" s="359"/>
      <c r="EB85" s="359"/>
      <c r="EC85" s="359"/>
      <c r="ED85" s="359"/>
      <c r="EE85" s="359"/>
      <c r="EF85" s="359"/>
      <c r="EG85" s="359"/>
      <c r="EH85" s="359"/>
      <c r="EI85" s="359"/>
      <c r="EJ85" s="359"/>
      <c r="EK85" s="359"/>
      <c r="EL85" s="359"/>
      <c r="EM85" s="359"/>
      <c r="EN85" s="359"/>
      <c r="EO85" s="359"/>
      <c r="EP85" s="360"/>
      <c r="EQ85" s="360"/>
      <c r="ER85" s="360"/>
      <c r="ES85" s="360"/>
      <c r="ET85" s="360"/>
      <c r="EU85" s="360"/>
      <c r="EV85" s="360"/>
      <c r="EW85" s="360"/>
      <c r="EX85" s="360"/>
      <c r="EY85" s="360"/>
      <c r="EZ85" s="360"/>
      <c r="FA85" s="360"/>
      <c r="FB85" s="360"/>
      <c r="FC85" s="360"/>
      <c r="FD85" s="360"/>
      <c r="FE85" s="360"/>
      <c r="FF85" s="360"/>
      <c r="FG85" s="360"/>
      <c r="FH85" s="352"/>
      <c r="FI85" s="352"/>
      <c r="FJ85" s="352"/>
      <c r="FK85" s="352"/>
      <c r="FL85" s="352"/>
      <c r="FM85" s="352"/>
      <c r="FN85" s="352"/>
      <c r="FO85" s="345"/>
      <c r="FP85" s="345"/>
      <c r="FQ85" s="345"/>
      <c r="FR85" s="345"/>
      <c r="FS85" s="345"/>
    </row>
    <row r="86" spans="1:175" s="112" customFormat="1" ht="11.25" hidden="1" customHeight="1" x14ac:dyDescent="0.25">
      <c r="A86" s="11"/>
      <c r="B86" s="71"/>
      <c r="C86" s="71"/>
      <c r="D86" s="71"/>
      <c r="E86" s="78"/>
      <c r="F86" s="78"/>
      <c r="G86" s="78"/>
      <c r="H86" s="79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12"/>
      <c r="X86" s="12"/>
      <c r="Y86" s="12"/>
      <c r="Z86" s="12"/>
      <c r="AA86" s="105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9"/>
      <c r="AX86" s="100"/>
      <c r="AY86" s="130"/>
      <c r="AZ86" s="346"/>
      <c r="BA86" s="343"/>
      <c r="BB86" s="389"/>
      <c r="BC86" s="395"/>
      <c r="BD86" s="395"/>
      <c r="BE86" s="395"/>
      <c r="BF86" s="395"/>
      <c r="BG86" s="395"/>
      <c r="BH86" s="395"/>
      <c r="BI86" s="343"/>
      <c r="BJ86" s="357"/>
      <c r="BK86" s="357"/>
      <c r="BL86" s="357"/>
      <c r="BM86" s="357"/>
      <c r="BN86" s="357"/>
      <c r="BO86" s="357"/>
      <c r="BP86" s="357"/>
      <c r="BQ86" s="359"/>
      <c r="BR86" s="359"/>
      <c r="BS86" s="359"/>
      <c r="BT86" s="359"/>
      <c r="BU86" s="359"/>
      <c r="BV86" s="359"/>
      <c r="BW86" s="359"/>
      <c r="BX86" s="359"/>
      <c r="BY86" s="359"/>
      <c r="BZ86" s="359"/>
      <c r="CA86" s="359"/>
      <c r="CB86" s="359"/>
      <c r="CC86" s="359"/>
      <c r="CD86" s="359"/>
      <c r="CE86" s="359"/>
      <c r="CF86" s="359"/>
      <c r="CG86" s="359"/>
      <c r="CH86" s="359"/>
      <c r="CI86" s="359"/>
      <c r="CJ86" s="359"/>
      <c r="CK86" s="359"/>
      <c r="CL86" s="359"/>
      <c r="CM86" s="359"/>
      <c r="CN86" s="359"/>
      <c r="CO86" s="359"/>
      <c r="CP86" s="359"/>
      <c r="CQ86" s="359"/>
      <c r="CR86" s="359"/>
      <c r="CS86" s="359"/>
      <c r="CT86" s="359"/>
      <c r="CU86" s="359"/>
      <c r="CV86" s="359"/>
      <c r="CW86" s="359"/>
      <c r="CX86" s="359"/>
      <c r="CY86" s="359"/>
      <c r="CZ86" s="359"/>
      <c r="DA86" s="359"/>
      <c r="DB86" s="359"/>
      <c r="DC86" s="359"/>
      <c r="DD86" s="359"/>
      <c r="DE86" s="359"/>
      <c r="DF86" s="359"/>
      <c r="DG86" s="359"/>
      <c r="DH86" s="359"/>
      <c r="DI86" s="359"/>
      <c r="DJ86" s="359"/>
      <c r="DK86" s="359"/>
      <c r="DL86" s="359"/>
      <c r="DM86" s="359"/>
      <c r="DN86" s="408"/>
      <c r="DO86" s="408"/>
      <c r="DP86" s="408"/>
      <c r="DQ86" s="408"/>
      <c r="DR86" s="408"/>
      <c r="DS86" s="408"/>
      <c r="DT86" s="408"/>
      <c r="DU86" s="408"/>
      <c r="DV86" s="408"/>
      <c r="DW86" s="408"/>
      <c r="DX86" s="408"/>
      <c r="DY86" s="408"/>
      <c r="DZ86" s="408"/>
      <c r="EA86" s="359"/>
      <c r="EB86" s="359"/>
      <c r="EC86" s="359"/>
      <c r="ED86" s="359"/>
      <c r="EE86" s="359"/>
      <c r="EF86" s="359"/>
      <c r="EG86" s="359"/>
      <c r="EH86" s="359"/>
      <c r="EI86" s="359"/>
      <c r="EJ86" s="359"/>
      <c r="EK86" s="359"/>
      <c r="EL86" s="359"/>
      <c r="EM86" s="359"/>
      <c r="EN86" s="359"/>
      <c r="EO86" s="359"/>
      <c r="EP86" s="360"/>
      <c r="EQ86" s="360"/>
      <c r="ER86" s="360"/>
      <c r="ES86" s="360"/>
      <c r="ET86" s="360"/>
      <c r="EU86" s="360"/>
      <c r="EV86" s="360"/>
      <c r="EW86" s="360"/>
      <c r="EX86" s="360"/>
      <c r="EY86" s="360"/>
      <c r="EZ86" s="360"/>
      <c r="FA86" s="360"/>
      <c r="FB86" s="360"/>
      <c r="FC86" s="360"/>
      <c r="FD86" s="360"/>
      <c r="FE86" s="360"/>
      <c r="FF86" s="360"/>
      <c r="FG86" s="360"/>
      <c r="FH86" s="352"/>
      <c r="FI86" s="352"/>
      <c r="FJ86" s="352"/>
      <c r="FK86" s="352"/>
      <c r="FL86" s="352"/>
      <c r="FM86" s="352"/>
      <c r="FN86" s="352"/>
      <c r="FO86" s="345"/>
      <c r="FP86" s="345"/>
      <c r="FQ86" s="345"/>
      <c r="FR86" s="345"/>
      <c r="FS86" s="345"/>
    </row>
    <row r="87" spans="1:175" s="112" customFormat="1" ht="11.25" hidden="1" customHeight="1" x14ac:dyDescent="0.25">
      <c r="A87" s="11"/>
      <c r="B87" s="71"/>
      <c r="C87" s="71"/>
      <c r="D87" s="71"/>
      <c r="E87" s="80"/>
      <c r="F87" s="21"/>
      <c r="G87" s="21"/>
      <c r="H87" s="79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12"/>
      <c r="X87" s="12"/>
      <c r="Y87" s="12"/>
      <c r="Z87" s="12"/>
      <c r="AA87" s="105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9"/>
      <c r="AX87" s="100"/>
      <c r="AY87" s="130"/>
      <c r="AZ87" s="346"/>
      <c r="BA87" s="343"/>
      <c r="BB87" s="389"/>
      <c r="BC87" s="395"/>
      <c r="BD87" s="395"/>
      <c r="BE87" s="395"/>
      <c r="BF87" s="395"/>
      <c r="BG87" s="395"/>
      <c r="BH87" s="395"/>
      <c r="BI87" s="343"/>
      <c r="BJ87" s="357"/>
      <c r="BK87" s="357"/>
      <c r="BL87" s="357"/>
      <c r="BM87" s="357"/>
      <c r="BN87" s="357"/>
      <c r="BO87" s="357"/>
      <c r="BP87" s="357"/>
      <c r="BQ87" s="359"/>
      <c r="BR87" s="359"/>
      <c r="BS87" s="359"/>
      <c r="BT87" s="359"/>
      <c r="BU87" s="359"/>
      <c r="BV87" s="359"/>
      <c r="BW87" s="359"/>
      <c r="BX87" s="359"/>
      <c r="BY87" s="359"/>
      <c r="BZ87" s="359"/>
      <c r="CA87" s="359"/>
      <c r="CB87" s="359"/>
      <c r="CC87" s="359"/>
      <c r="CD87" s="359"/>
      <c r="CE87" s="359"/>
      <c r="CF87" s="359"/>
      <c r="CG87" s="359"/>
      <c r="CH87" s="359"/>
      <c r="CI87" s="359"/>
      <c r="CJ87" s="359"/>
      <c r="CK87" s="359"/>
      <c r="CL87" s="359"/>
      <c r="CM87" s="359"/>
      <c r="CN87" s="359"/>
      <c r="CO87" s="359"/>
      <c r="CP87" s="359"/>
      <c r="CQ87" s="359"/>
      <c r="CR87" s="359"/>
      <c r="CS87" s="359"/>
      <c r="CT87" s="359"/>
      <c r="CU87" s="359"/>
      <c r="CV87" s="359"/>
      <c r="CW87" s="359"/>
      <c r="CX87" s="359"/>
      <c r="CY87" s="359"/>
      <c r="CZ87" s="359"/>
      <c r="DA87" s="359"/>
      <c r="DB87" s="359"/>
      <c r="DC87" s="359"/>
      <c r="DD87" s="359"/>
      <c r="DE87" s="359"/>
      <c r="DF87" s="359"/>
      <c r="DG87" s="359"/>
      <c r="DH87" s="359"/>
      <c r="DI87" s="359"/>
      <c r="DJ87" s="359"/>
      <c r="DK87" s="359"/>
      <c r="DL87" s="359"/>
      <c r="DM87" s="359"/>
      <c r="DN87" s="408"/>
      <c r="DO87" s="408"/>
      <c r="DP87" s="408"/>
      <c r="DQ87" s="408"/>
      <c r="DR87" s="408"/>
      <c r="DS87" s="408"/>
      <c r="DT87" s="408"/>
      <c r="DU87" s="408"/>
      <c r="DV87" s="408"/>
      <c r="DW87" s="408"/>
      <c r="DX87" s="408"/>
      <c r="DY87" s="408"/>
      <c r="DZ87" s="408"/>
      <c r="EA87" s="359"/>
      <c r="EB87" s="359"/>
      <c r="EC87" s="359"/>
      <c r="ED87" s="359"/>
      <c r="EE87" s="359"/>
      <c r="EF87" s="359"/>
      <c r="EG87" s="359"/>
      <c r="EH87" s="359"/>
      <c r="EI87" s="359"/>
      <c r="EJ87" s="359"/>
      <c r="EK87" s="359"/>
      <c r="EL87" s="359"/>
      <c r="EM87" s="359"/>
      <c r="EN87" s="359"/>
      <c r="EO87" s="359"/>
      <c r="EP87" s="360"/>
      <c r="EQ87" s="360"/>
      <c r="ER87" s="360"/>
      <c r="ES87" s="360"/>
      <c r="ET87" s="360"/>
      <c r="EU87" s="360"/>
      <c r="EV87" s="360"/>
      <c r="EW87" s="360"/>
      <c r="EX87" s="360"/>
      <c r="EY87" s="360"/>
      <c r="EZ87" s="360"/>
      <c r="FA87" s="360"/>
      <c r="FB87" s="360"/>
      <c r="FC87" s="360"/>
      <c r="FD87" s="360"/>
      <c r="FE87" s="360"/>
      <c r="FF87" s="360"/>
      <c r="FG87" s="360"/>
      <c r="FH87" s="352"/>
      <c r="FI87" s="352"/>
      <c r="FJ87" s="352"/>
      <c r="FK87" s="352"/>
      <c r="FL87" s="352"/>
      <c r="FM87" s="352"/>
      <c r="FN87" s="352"/>
      <c r="FO87" s="345"/>
      <c r="FP87" s="345"/>
      <c r="FQ87" s="345"/>
      <c r="FR87" s="345"/>
      <c r="FS87" s="345"/>
    </row>
    <row r="88" spans="1:175" s="112" customFormat="1" ht="11.25" hidden="1" customHeight="1" x14ac:dyDescent="0.25">
      <c r="A88" s="11"/>
      <c r="B88" s="71"/>
      <c r="C88" s="71"/>
      <c r="D88" s="71"/>
      <c r="E88" s="80"/>
      <c r="F88" s="21"/>
      <c r="G88" s="21"/>
      <c r="H88" s="8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12"/>
      <c r="X88" s="12"/>
      <c r="Y88" s="12"/>
      <c r="Z88" s="12"/>
      <c r="AA88" s="105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9"/>
      <c r="AX88" s="100"/>
      <c r="AY88" s="130"/>
      <c r="AZ88" s="346"/>
      <c r="BA88" s="343"/>
      <c r="BB88" s="389"/>
      <c r="BC88" s="395"/>
      <c r="BD88" s="395"/>
      <c r="BE88" s="395"/>
      <c r="BF88" s="395"/>
      <c r="BG88" s="395"/>
      <c r="BH88" s="395"/>
      <c r="BI88" s="343"/>
      <c r="BJ88" s="357"/>
      <c r="BK88" s="357"/>
      <c r="BL88" s="357"/>
      <c r="BM88" s="357"/>
      <c r="BN88" s="357"/>
      <c r="BO88" s="357"/>
      <c r="BP88" s="357"/>
      <c r="BQ88" s="359"/>
      <c r="BR88" s="359"/>
      <c r="BS88" s="359"/>
      <c r="BT88" s="359"/>
      <c r="BU88" s="359"/>
      <c r="BV88" s="359"/>
      <c r="BW88" s="359"/>
      <c r="BX88" s="359"/>
      <c r="BY88" s="359"/>
      <c r="BZ88" s="359"/>
      <c r="CA88" s="359"/>
      <c r="CB88" s="359"/>
      <c r="CC88" s="359"/>
      <c r="CD88" s="359"/>
      <c r="CE88" s="359"/>
      <c r="CF88" s="359"/>
      <c r="CG88" s="359"/>
      <c r="CH88" s="359"/>
      <c r="CI88" s="359"/>
      <c r="CJ88" s="359"/>
      <c r="CK88" s="359"/>
      <c r="CL88" s="359"/>
      <c r="CM88" s="359"/>
      <c r="CN88" s="359"/>
      <c r="CO88" s="359"/>
      <c r="CP88" s="359"/>
      <c r="CQ88" s="359"/>
      <c r="CR88" s="359"/>
      <c r="CS88" s="359"/>
      <c r="CT88" s="359"/>
      <c r="CU88" s="359"/>
      <c r="CV88" s="359"/>
      <c r="CW88" s="359"/>
      <c r="CX88" s="359"/>
      <c r="CY88" s="359"/>
      <c r="CZ88" s="359"/>
      <c r="DA88" s="359"/>
      <c r="DB88" s="359"/>
      <c r="DC88" s="359"/>
      <c r="DD88" s="359"/>
      <c r="DE88" s="359"/>
      <c r="DF88" s="359"/>
      <c r="DG88" s="359"/>
      <c r="DH88" s="359"/>
      <c r="DI88" s="359"/>
      <c r="DJ88" s="359"/>
      <c r="DK88" s="359"/>
      <c r="DL88" s="359"/>
      <c r="DM88" s="359"/>
      <c r="DN88" s="408"/>
      <c r="DO88" s="408"/>
      <c r="DP88" s="408"/>
      <c r="DQ88" s="408"/>
      <c r="DR88" s="408"/>
      <c r="DS88" s="408"/>
      <c r="DT88" s="408"/>
      <c r="DU88" s="408"/>
      <c r="DV88" s="408"/>
      <c r="DW88" s="408"/>
      <c r="DX88" s="408"/>
      <c r="DY88" s="408"/>
      <c r="DZ88" s="408"/>
      <c r="EA88" s="359"/>
      <c r="EB88" s="359"/>
      <c r="EC88" s="359"/>
      <c r="ED88" s="359"/>
      <c r="EE88" s="359"/>
      <c r="EF88" s="359"/>
      <c r="EG88" s="359"/>
      <c r="EH88" s="359"/>
      <c r="EI88" s="359"/>
      <c r="EJ88" s="359"/>
      <c r="EK88" s="359"/>
      <c r="EL88" s="359"/>
      <c r="EM88" s="359"/>
      <c r="EN88" s="359"/>
      <c r="EO88" s="359"/>
      <c r="EP88" s="360"/>
      <c r="EQ88" s="360"/>
      <c r="ER88" s="360"/>
      <c r="ES88" s="360"/>
      <c r="ET88" s="360"/>
      <c r="EU88" s="360"/>
      <c r="EV88" s="360"/>
      <c r="EW88" s="360"/>
      <c r="EX88" s="360"/>
      <c r="EY88" s="360"/>
      <c r="EZ88" s="360"/>
      <c r="FA88" s="360"/>
      <c r="FB88" s="360"/>
      <c r="FC88" s="360"/>
      <c r="FD88" s="360"/>
      <c r="FE88" s="360"/>
      <c r="FF88" s="360"/>
      <c r="FG88" s="360"/>
      <c r="FH88" s="352"/>
      <c r="FI88" s="352"/>
      <c r="FJ88" s="352"/>
      <c r="FK88" s="352"/>
      <c r="FL88" s="352"/>
      <c r="FM88" s="352"/>
      <c r="FN88" s="352"/>
      <c r="FO88" s="345"/>
      <c r="FP88" s="345"/>
      <c r="FQ88" s="345"/>
      <c r="FR88" s="345"/>
      <c r="FS88" s="345"/>
    </row>
    <row r="89" spans="1:175" s="112" customFormat="1" ht="11.25" hidden="1" customHeight="1" x14ac:dyDescent="0.25">
      <c r="A89" s="11"/>
      <c r="B89" s="71"/>
      <c r="C89" s="71"/>
      <c r="D89" s="71"/>
      <c r="E89" s="71"/>
      <c r="F89" s="71"/>
      <c r="G89" s="71"/>
      <c r="H89" s="8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12"/>
      <c r="X89" s="12"/>
      <c r="Y89" s="12"/>
      <c r="Z89" s="12"/>
      <c r="AA89" s="105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9"/>
      <c r="AX89" s="100"/>
      <c r="AY89" s="130"/>
      <c r="AZ89" s="346"/>
      <c r="BA89" s="343"/>
      <c r="BB89" s="389"/>
      <c r="BC89" s="395"/>
      <c r="BD89" s="395"/>
      <c r="BE89" s="395"/>
      <c r="BF89" s="395"/>
      <c r="BG89" s="395"/>
      <c r="BH89" s="395"/>
      <c r="BI89" s="343"/>
      <c r="BJ89" s="357"/>
      <c r="BK89" s="357"/>
      <c r="BL89" s="357"/>
      <c r="BM89" s="357"/>
      <c r="BN89" s="357"/>
      <c r="BO89" s="357"/>
      <c r="BP89" s="357"/>
      <c r="BQ89" s="359"/>
      <c r="BR89" s="359"/>
      <c r="BS89" s="359"/>
      <c r="BT89" s="359"/>
      <c r="BU89" s="359"/>
      <c r="BV89" s="359"/>
      <c r="BW89" s="359"/>
      <c r="BX89" s="359"/>
      <c r="BY89" s="359"/>
      <c r="BZ89" s="359"/>
      <c r="CA89" s="359"/>
      <c r="CB89" s="359"/>
      <c r="CC89" s="359"/>
      <c r="CD89" s="359"/>
      <c r="CE89" s="359"/>
      <c r="CF89" s="359"/>
      <c r="CG89" s="359"/>
      <c r="CH89" s="359"/>
      <c r="CI89" s="359"/>
      <c r="CJ89" s="359"/>
      <c r="CK89" s="359"/>
      <c r="CL89" s="359"/>
      <c r="CM89" s="359"/>
      <c r="CN89" s="359"/>
      <c r="CO89" s="359"/>
      <c r="CP89" s="359"/>
      <c r="CQ89" s="359"/>
      <c r="CR89" s="359"/>
      <c r="CS89" s="359"/>
      <c r="CT89" s="359"/>
      <c r="CU89" s="359"/>
      <c r="CV89" s="359"/>
      <c r="CW89" s="359"/>
      <c r="CX89" s="359"/>
      <c r="CY89" s="359"/>
      <c r="CZ89" s="359"/>
      <c r="DA89" s="359"/>
      <c r="DB89" s="359"/>
      <c r="DC89" s="359"/>
      <c r="DD89" s="359"/>
      <c r="DE89" s="359"/>
      <c r="DF89" s="359"/>
      <c r="DG89" s="359"/>
      <c r="DH89" s="359"/>
      <c r="DI89" s="359"/>
      <c r="DJ89" s="359"/>
      <c r="DK89" s="359"/>
      <c r="DL89" s="359"/>
      <c r="DM89" s="359"/>
      <c r="DN89" s="408"/>
      <c r="DO89" s="408"/>
      <c r="DP89" s="408"/>
      <c r="DQ89" s="408"/>
      <c r="DR89" s="408"/>
      <c r="DS89" s="408"/>
      <c r="DT89" s="408"/>
      <c r="DU89" s="408"/>
      <c r="DV89" s="408"/>
      <c r="DW89" s="408"/>
      <c r="DX89" s="408"/>
      <c r="DY89" s="408"/>
      <c r="DZ89" s="408"/>
      <c r="EA89" s="359"/>
      <c r="EB89" s="359"/>
      <c r="EC89" s="359"/>
      <c r="ED89" s="359"/>
      <c r="EE89" s="359"/>
      <c r="EF89" s="359"/>
      <c r="EG89" s="359"/>
      <c r="EH89" s="359"/>
      <c r="EI89" s="359"/>
      <c r="EJ89" s="359"/>
      <c r="EK89" s="359"/>
      <c r="EL89" s="359"/>
      <c r="EM89" s="359"/>
      <c r="EN89" s="359"/>
      <c r="EO89" s="359"/>
      <c r="EP89" s="360"/>
      <c r="EQ89" s="360"/>
      <c r="ER89" s="360"/>
      <c r="ES89" s="360"/>
      <c r="ET89" s="360"/>
      <c r="EU89" s="360"/>
      <c r="EV89" s="360"/>
      <c r="EW89" s="360"/>
      <c r="EX89" s="360"/>
      <c r="EY89" s="360"/>
      <c r="EZ89" s="360"/>
      <c r="FA89" s="360"/>
      <c r="FB89" s="360"/>
      <c r="FC89" s="360"/>
      <c r="FD89" s="360"/>
      <c r="FE89" s="360"/>
      <c r="FF89" s="360"/>
      <c r="FG89" s="360"/>
      <c r="FH89" s="352"/>
      <c r="FI89" s="352"/>
      <c r="FJ89" s="352"/>
      <c r="FK89" s="352"/>
      <c r="FL89" s="352"/>
      <c r="FM89" s="352"/>
      <c r="FN89" s="352"/>
      <c r="FO89" s="345"/>
      <c r="FP89" s="345"/>
      <c r="FQ89" s="345"/>
      <c r="FR89" s="345"/>
      <c r="FS89" s="345"/>
    </row>
    <row r="90" spans="1:175" s="112" customFormat="1" ht="11.25" hidden="1" customHeight="1" x14ac:dyDescent="0.25">
      <c r="A90" s="1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12"/>
      <c r="X90" s="12"/>
      <c r="Y90" s="12"/>
      <c r="Z90" s="12"/>
      <c r="AA90" s="105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9"/>
      <c r="AX90" s="100"/>
      <c r="AY90" s="130"/>
      <c r="AZ90" s="346"/>
      <c r="BA90" s="343"/>
      <c r="BB90" s="389"/>
      <c r="BC90" s="395"/>
      <c r="BD90" s="395"/>
      <c r="BE90" s="395"/>
      <c r="BF90" s="395"/>
      <c r="BG90" s="395"/>
      <c r="BH90" s="395"/>
      <c r="BI90" s="343"/>
      <c r="BJ90" s="357"/>
      <c r="BK90" s="357"/>
      <c r="BL90" s="357"/>
      <c r="BM90" s="357"/>
      <c r="BN90" s="357"/>
      <c r="BO90" s="357"/>
      <c r="BP90" s="357"/>
      <c r="BQ90" s="359"/>
      <c r="BR90" s="359"/>
      <c r="BS90" s="359"/>
      <c r="BT90" s="359"/>
      <c r="BU90" s="359"/>
      <c r="BV90" s="359"/>
      <c r="BW90" s="359"/>
      <c r="BX90" s="359"/>
      <c r="BY90" s="359"/>
      <c r="BZ90" s="359"/>
      <c r="CA90" s="359"/>
      <c r="CB90" s="359"/>
      <c r="CC90" s="359"/>
      <c r="CD90" s="359"/>
      <c r="CE90" s="359"/>
      <c r="CF90" s="359"/>
      <c r="CG90" s="359"/>
      <c r="CH90" s="359"/>
      <c r="CI90" s="359"/>
      <c r="CJ90" s="359"/>
      <c r="CK90" s="359"/>
      <c r="CL90" s="359"/>
      <c r="CM90" s="359"/>
      <c r="CN90" s="359"/>
      <c r="CO90" s="359"/>
      <c r="CP90" s="359"/>
      <c r="CQ90" s="359"/>
      <c r="CR90" s="359"/>
      <c r="CS90" s="359"/>
      <c r="CT90" s="359"/>
      <c r="CU90" s="359"/>
      <c r="CV90" s="359"/>
      <c r="CW90" s="359"/>
      <c r="CX90" s="359"/>
      <c r="CY90" s="359"/>
      <c r="CZ90" s="359"/>
      <c r="DA90" s="359"/>
      <c r="DB90" s="359"/>
      <c r="DC90" s="359"/>
      <c r="DD90" s="359"/>
      <c r="DE90" s="359"/>
      <c r="DF90" s="359"/>
      <c r="DG90" s="359"/>
      <c r="DH90" s="359"/>
      <c r="DI90" s="359"/>
      <c r="DJ90" s="359"/>
      <c r="DK90" s="359"/>
      <c r="DL90" s="359"/>
      <c r="DM90" s="359"/>
      <c r="DN90" s="408"/>
      <c r="DO90" s="408"/>
      <c r="DP90" s="408"/>
      <c r="DQ90" s="408"/>
      <c r="DR90" s="408"/>
      <c r="DS90" s="408"/>
      <c r="DT90" s="408"/>
      <c r="DU90" s="408"/>
      <c r="DV90" s="408"/>
      <c r="DW90" s="408"/>
      <c r="DX90" s="408"/>
      <c r="DY90" s="408"/>
      <c r="DZ90" s="408"/>
      <c r="EA90" s="359"/>
      <c r="EB90" s="359"/>
      <c r="EC90" s="359"/>
      <c r="ED90" s="359"/>
      <c r="EE90" s="359"/>
      <c r="EF90" s="359"/>
      <c r="EG90" s="359"/>
      <c r="EH90" s="359"/>
      <c r="EI90" s="359"/>
      <c r="EJ90" s="359"/>
      <c r="EK90" s="359"/>
      <c r="EL90" s="359"/>
      <c r="EM90" s="359"/>
      <c r="EN90" s="359"/>
      <c r="EO90" s="359"/>
      <c r="EP90" s="360"/>
      <c r="EQ90" s="360"/>
      <c r="ER90" s="360"/>
      <c r="ES90" s="360"/>
      <c r="ET90" s="360"/>
      <c r="EU90" s="360"/>
      <c r="EV90" s="360"/>
      <c r="EW90" s="360"/>
      <c r="EX90" s="360"/>
      <c r="EY90" s="360"/>
      <c r="EZ90" s="360"/>
      <c r="FA90" s="360"/>
      <c r="FB90" s="360"/>
      <c r="FC90" s="360"/>
      <c r="FD90" s="360"/>
      <c r="FE90" s="360"/>
      <c r="FF90" s="360"/>
      <c r="FG90" s="360"/>
      <c r="FH90" s="352"/>
      <c r="FI90" s="352"/>
      <c r="FJ90" s="352"/>
      <c r="FK90" s="352"/>
      <c r="FL90" s="352"/>
      <c r="FM90" s="352"/>
      <c r="FN90" s="352"/>
      <c r="FO90" s="345"/>
      <c r="FP90" s="345"/>
      <c r="FQ90" s="345"/>
      <c r="FR90" s="345"/>
      <c r="FS90" s="345"/>
    </row>
    <row r="91" spans="1:175" s="112" customFormat="1" ht="11.25" hidden="1" customHeight="1" x14ac:dyDescent="0.25">
      <c r="A91" s="11"/>
      <c r="B91" s="71"/>
      <c r="C91" s="71"/>
      <c r="D91" s="71"/>
      <c r="E91" s="538"/>
      <c r="F91" s="543"/>
      <c r="G91" s="543"/>
      <c r="H91" s="543"/>
      <c r="I91" s="543"/>
      <c r="J91" s="543"/>
      <c r="K91" s="543"/>
      <c r="L91" s="543"/>
      <c r="M91" s="543"/>
      <c r="N91" s="543"/>
      <c r="O91" s="543"/>
      <c r="P91" s="543"/>
      <c r="Q91" s="543"/>
      <c r="R91" s="543"/>
      <c r="S91" s="543"/>
      <c r="T91" s="543"/>
      <c r="U91" s="543"/>
      <c r="V91" s="543"/>
      <c r="W91" s="12"/>
      <c r="X91" s="12"/>
      <c r="Y91" s="12"/>
      <c r="Z91" s="12"/>
      <c r="AA91" s="105"/>
      <c r="AB91" s="100"/>
      <c r="AC91" s="100"/>
      <c r="AD91" s="100"/>
      <c r="AE91" s="100"/>
      <c r="AF91" s="100"/>
      <c r="AG91" s="100"/>
      <c r="AH91" s="100"/>
      <c r="AI91" s="100"/>
      <c r="AJ91" s="100"/>
      <c r="AK91" s="100"/>
      <c r="AL91" s="100"/>
      <c r="AM91" s="100"/>
      <c r="AN91" s="100"/>
      <c r="AO91" s="100"/>
      <c r="AP91" s="100"/>
      <c r="AQ91" s="100"/>
      <c r="AR91" s="100"/>
      <c r="AS91" s="100"/>
      <c r="AT91" s="100"/>
      <c r="AU91" s="100"/>
      <c r="AV91" s="100"/>
      <c r="AW91" s="109"/>
      <c r="AX91" s="100"/>
      <c r="AY91" s="130"/>
      <c r="AZ91" s="346"/>
      <c r="BA91" s="343"/>
      <c r="BB91" s="389"/>
      <c r="BC91" s="395"/>
      <c r="BD91" s="395"/>
      <c r="BE91" s="395"/>
      <c r="BF91" s="395"/>
      <c r="BG91" s="395"/>
      <c r="BH91" s="395"/>
      <c r="BI91" s="343"/>
      <c r="BJ91" s="357"/>
      <c r="BK91" s="357"/>
      <c r="BL91" s="357"/>
      <c r="BM91" s="357"/>
      <c r="BN91" s="357"/>
      <c r="BO91" s="357"/>
      <c r="BP91" s="357"/>
      <c r="BQ91" s="359"/>
      <c r="BR91" s="359"/>
      <c r="BS91" s="359"/>
      <c r="BT91" s="359"/>
      <c r="BU91" s="359"/>
      <c r="BV91" s="359"/>
      <c r="BW91" s="359"/>
      <c r="BX91" s="359"/>
      <c r="BY91" s="359"/>
      <c r="BZ91" s="359"/>
      <c r="CA91" s="359"/>
      <c r="CB91" s="359"/>
      <c r="CC91" s="359"/>
      <c r="CD91" s="359"/>
      <c r="CE91" s="359"/>
      <c r="CF91" s="359"/>
      <c r="CG91" s="359"/>
      <c r="CH91" s="359"/>
      <c r="CI91" s="359"/>
      <c r="CJ91" s="359"/>
      <c r="CK91" s="359"/>
      <c r="CL91" s="359"/>
      <c r="CM91" s="359"/>
      <c r="CN91" s="359"/>
      <c r="CO91" s="359"/>
      <c r="CP91" s="359"/>
      <c r="CQ91" s="359"/>
      <c r="CR91" s="359"/>
      <c r="CS91" s="359"/>
      <c r="CT91" s="359"/>
      <c r="CU91" s="359"/>
      <c r="CV91" s="359"/>
      <c r="CW91" s="359"/>
      <c r="CX91" s="359"/>
      <c r="CY91" s="359"/>
      <c r="CZ91" s="359"/>
      <c r="DA91" s="359"/>
      <c r="DB91" s="359"/>
      <c r="DC91" s="359"/>
      <c r="DD91" s="359"/>
      <c r="DE91" s="359"/>
      <c r="DF91" s="359"/>
      <c r="DG91" s="359"/>
      <c r="DH91" s="359"/>
      <c r="DI91" s="359"/>
      <c r="DJ91" s="359"/>
      <c r="DK91" s="359"/>
      <c r="DL91" s="359"/>
      <c r="DM91" s="359"/>
      <c r="DN91" s="408"/>
      <c r="DO91" s="408"/>
      <c r="DP91" s="408"/>
      <c r="DQ91" s="408"/>
      <c r="DR91" s="408"/>
      <c r="DS91" s="408"/>
      <c r="DT91" s="408"/>
      <c r="DU91" s="408"/>
      <c r="DV91" s="408"/>
      <c r="DW91" s="408"/>
      <c r="DX91" s="408"/>
      <c r="DY91" s="408"/>
      <c r="DZ91" s="408"/>
      <c r="EA91" s="359"/>
      <c r="EB91" s="359"/>
      <c r="EC91" s="359"/>
      <c r="ED91" s="359"/>
      <c r="EE91" s="359"/>
      <c r="EF91" s="359"/>
      <c r="EG91" s="359"/>
      <c r="EH91" s="359"/>
      <c r="EI91" s="359"/>
      <c r="EJ91" s="359"/>
      <c r="EK91" s="359"/>
      <c r="EL91" s="359"/>
      <c r="EM91" s="359"/>
      <c r="EN91" s="359"/>
      <c r="EO91" s="359"/>
      <c r="EP91" s="360"/>
      <c r="EQ91" s="360"/>
      <c r="ER91" s="360"/>
      <c r="ES91" s="360"/>
      <c r="ET91" s="360"/>
      <c r="EU91" s="360"/>
      <c r="EV91" s="360"/>
      <c r="EW91" s="360"/>
      <c r="EX91" s="360"/>
      <c r="EY91" s="360"/>
      <c r="EZ91" s="360"/>
      <c r="FA91" s="360"/>
      <c r="FB91" s="360"/>
      <c r="FC91" s="360"/>
      <c r="FD91" s="360"/>
      <c r="FE91" s="360"/>
      <c r="FF91" s="360"/>
      <c r="FG91" s="360"/>
      <c r="FH91" s="352"/>
      <c r="FI91" s="352"/>
      <c r="FJ91" s="352"/>
      <c r="FK91" s="352"/>
      <c r="FL91" s="352"/>
      <c r="FM91" s="352"/>
      <c r="FN91" s="352"/>
      <c r="FO91" s="345"/>
      <c r="FP91" s="345"/>
      <c r="FQ91" s="345"/>
      <c r="FR91" s="345"/>
      <c r="FS91" s="345"/>
    </row>
    <row r="92" spans="1:175" s="112" customFormat="1" ht="11.25" hidden="1" customHeight="1" x14ac:dyDescent="0.25">
      <c r="A92" s="11"/>
      <c r="B92" s="546"/>
      <c r="C92" s="546"/>
      <c r="D92" s="546"/>
      <c r="E92" s="546"/>
      <c r="F92" s="546"/>
      <c r="G92" s="546"/>
      <c r="H92" s="546"/>
      <c r="I92" s="546"/>
      <c r="J92" s="550"/>
      <c r="K92" s="550"/>
      <c r="L92" s="550"/>
      <c r="M92" s="550"/>
      <c r="N92" s="550"/>
      <c r="O92" s="550"/>
      <c r="P92" s="550"/>
      <c r="Q92" s="550"/>
      <c r="R92" s="550"/>
      <c r="S92" s="550"/>
      <c r="T92" s="550"/>
      <c r="U92" s="550"/>
      <c r="V92" s="550"/>
      <c r="W92" s="12"/>
      <c r="X92" s="12"/>
      <c r="Y92" s="12"/>
      <c r="Z92" s="12"/>
      <c r="AA92" s="105"/>
      <c r="AB92" s="100"/>
      <c r="AC92" s="100"/>
      <c r="AD92" s="100"/>
      <c r="AE92" s="100"/>
      <c r="AF92" s="100"/>
      <c r="AG92" s="100"/>
      <c r="AH92" s="100"/>
      <c r="AI92" s="100"/>
      <c r="AJ92" s="100"/>
      <c r="AK92" s="100"/>
      <c r="AL92" s="100"/>
      <c r="AM92" s="100"/>
      <c r="AN92" s="100"/>
      <c r="AO92" s="100"/>
      <c r="AP92" s="100"/>
      <c r="AQ92" s="100"/>
      <c r="AR92" s="100"/>
      <c r="AS92" s="100"/>
      <c r="AT92" s="100"/>
      <c r="AU92" s="100"/>
      <c r="AV92" s="100"/>
      <c r="AW92" s="109"/>
      <c r="AX92" s="100"/>
      <c r="AY92" s="130"/>
      <c r="AZ92" s="346"/>
      <c r="BA92" s="343"/>
      <c r="BB92" s="389"/>
      <c r="BC92" s="395"/>
      <c r="BD92" s="395"/>
      <c r="BE92" s="395"/>
      <c r="BF92" s="395"/>
      <c r="BG92" s="395"/>
      <c r="BH92" s="395"/>
      <c r="BI92" s="343"/>
      <c r="BJ92" s="357"/>
      <c r="BK92" s="357"/>
      <c r="BL92" s="357"/>
      <c r="BM92" s="357"/>
      <c r="BN92" s="357"/>
      <c r="BO92" s="357"/>
      <c r="BP92" s="357"/>
      <c r="BQ92" s="359"/>
      <c r="BR92" s="359"/>
      <c r="BS92" s="359"/>
      <c r="BT92" s="359"/>
      <c r="BU92" s="359"/>
      <c r="BV92" s="359"/>
      <c r="BW92" s="359"/>
      <c r="BX92" s="359"/>
      <c r="BY92" s="359"/>
      <c r="BZ92" s="359"/>
      <c r="CA92" s="359"/>
      <c r="CB92" s="359"/>
      <c r="CC92" s="359"/>
      <c r="CD92" s="359"/>
      <c r="CE92" s="359"/>
      <c r="CF92" s="359"/>
      <c r="CG92" s="359"/>
      <c r="CH92" s="359"/>
      <c r="CI92" s="359"/>
      <c r="CJ92" s="359"/>
      <c r="CK92" s="359"/>
      <c r="CL92" s="359"/>
      <c r="CM92" s="359"/>
      <c r="CN92" s="359"/>
      <c r="CO92" s="359"/>
      <c r="CP92" s="359"/>
      <c r="CQ92" s="359"/>
      <c r="CR92" s="359"/>
      <c r="CS92" s="359"/>
      <c r="CT92" s="359"/>
      <c r="CU92" s="359"/>
      <c r="CV92" s="359"/>
      <c r="CW92" s="359"/>
      <c r="CX92" s="359"/>
      <c r="CY92" s="359"/>
      <c r="CZ92" s="359"/>
      <c r="DA92" s="359"/>
      <c r="DB92" s="359"/>
      <c r="DC92" s="359"/>
      <c r="DD92" s="359"/>
      <c r="DE92" s="359"/>
      <c r="DF92" s="359"/>
      <c r="DG92" s="359"/>
      <c r="DH92" s="359"/>
      <c r="DI92" s="359"/>
      <c r="DJ92" s="359"/>
      <c r="DK92" s="359"/>
      <c r="DL92" s="359"/>
      <c r="DM92" s="359"/>
      <c r="DN92" s="408"/>
      <c r="DO92" s="408"/>
      <c r="DP92" s="408"/>
      <c r="DQ92" s="408"/>
      <c r="DR92" s="408"/>
      <c r="DS92" s="408"/>
      <c r="DT92" s="408"/>
      <c r="DU92" s="408"/>
      <c r="DV92" s="408"/>
      <c r="DW92" s="408"/>
      <c r="DX92" s="408"/>
      <c r="DY92" s="408"/>
      <c r="DZ92" s="408"/>
      <c r="EA92" s="359"/>
      <c r="EB92" s="359"/>
      <c r="EC92" s="359"/>
      <c r="ED92" s="359"/>
      <c r="EE92" s="359"/>
      <c r="EF92" s="359"/>
      <c r="EG92" s="359"/>
      <c r="EH92" s="359"/>
      <c r="EI92" s="359"/>
      <c r="EJ92" s="359"/>
      <c r="EK92" s="359"/>
      <c r="EL92" s="359"/>
      <c r="EM92" s="359"/>
      <c r="EN92" s="359"/>
      <c r="EO92" s="359"/>
      <c r="EP92" s="360"/>
      <c r="EQ92" s="360"/>
      <c r="ER92" s="360"/>
      <c r="ES92" s="360"/>
      <c r="ET92" s="360"/>
      <c r="EU92" s="360"/>
      <c r="EV92" s="360"/>
      <c r="EW92" s="360"/>
      <c r="EX92" s="360"/>
      <c r="EY92" s="360"/>
      <c r="EZ92" s="360"/>
      <c r="FA92" s="360"/>
      <c r="FB92" s="360"/>
      <c r="FC92" s="360"/>
      <c r="FD92" s="360"/>
      <c r="FE92" s="360"/>
      <c r="FF92" s="360"/>
      <c r="FG92" s="360"/>
      <c r="FH92" s="352"/>
      <c r="FI92" s="352"/>
      <c r="FJ92" s="352"/>
      <c r="FK92" s="352"/>
      <c r="FL92" s="352"/>
      <c r="FM92" s="352"/>
      <c r="FN92" s="352"/>
      <c r="FO92" s="345"/>
      <c r="FP92" s="345"/>
      <c r="FQ92" s="345"/>
      <c r="FR92" s="345"/>
      <c r="FS92" s="345"/>
    </row>
    <row r="93" spans="1:175" s="112" customFormat="1" ht="11.25" hidden="1" customHeight="1" x14ac:dyDescent="0.25">
      <c r="A93" s="11"/>
      <c r="B93" s="546"/>
      <c r="C93" s="546"/>
      <c r="D93" s="546"/>
      <c r="E93" s="546"/>
      <c r="F93" s="546"/>
      <c r="G93" s="546"/>
      <c r="H93" s="546"/>
      <c r="I93" s="546"/>
      <c r="J93" s="537"/>
      <c r="K93" s="537"/>
      <c r="L93" s="537"/>
      <c r="M93" s="537"/>
      <c r="N93" s="537"/>
      <c r="O93" s="537"/>
      <c r="P93" s="537"/>
      <c r="Q93" s="537"/>
      <c r="R93" s="537"/>
      <c r="S93" s="537"/>
      <c r="T93" s="537"/>
      <c r="U93" s="537"/>
      <c r="V93" s="537"/>
      <c r="W93" s="12"/>
      <c r="X93" s="12"/>
      <c r="Y93" s="12"/>
      <c r="Z93" s="12"/>
      <c r="AA93" s="105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9"/>
      <c r="AX93" s="100"/>
      <c r="AY93" s="130"/>
      <c r="AZ93" s="346"/>
      <c r="BA93" s="343"/>
      <c r="BB93" s="389"/>
      <c r="BC93" s="395"/>
      <c r="BD93" s="395"/>
      <c r="BE93" s="395"/>
      <c r="BF93" s="395"/>
      <c r="BG93" s="395"/>
      <c r="BH93" s="395"/>
      <c r="BI93" s="343"/>
      <c r="BJ93" s="357"/>
      <c r="BK93" s="357"/>
      <c r="BL93" s="357"/>
      <c r="BM93" s="357"/>
      <c r="BN93" s="357"/>
      <c r="BO93" s="357"/>
      <c r="BP93" s="357"/>
      <c r="BQ93" s="359"/>
      <c r="BR93" s="359"/>
      <c r="BS93" s="359"/>
      <c r="BT93" s="359"/>
      <c r="BU93" s="359"/>
      <c r="BV93" s="359"/>
      <c r="BW93" s="359"/>
      <c r="BX93" s="359"/>
      <c r="BY93" s="359"/>
      <c r="BZ93" s="359"/>
      <c r="CA93" s="359"/>
      <c r="CB93" s="359"/>
      <c r="CC93" s="359"/>
      <c r="CD93" s="359"/>
      <c r="CE93" s="359"/>
      <c r="CF93" s="359"/>
      <c r="CG93" s="359"/>
      <c r="CH93" s="359"/>
      <c r="CI93" s="359"/>
      <c r="CJ93" s="359"/>
      <c r="CK93" s="359"/>
      <c r="CL93" s="359"/>
      <c r="CM93" s="359"/>
      <c r="CN93" s="359"/>
      <c r="CO93" s="359"/>
      <c r="CP93" s="359"/>
      <c r="CQ93" s="359"/>
      <c r="CR93" s="359"/>
      <c r="CS93" s="359"/>
      <c r="CT93" s="359"/>
      <c r="CU93" s="359"/>
      <c r="CV93" s="359"/>
      <c r="CW93" s="359"/>
      <c r="CX93" s="359"/>
      <c r="CY93" s="359"/>
      <c r="CZ93" s="359"/>
      <c r="DA93" s="359"/>
      <c r="DB93" s="359"/>
      <c r="DC93" s="359"/>
      <c r="DD93" s="359"/>
      <c r="DE93" s="359"/>
      <c r="DF93" s="359"/>
      <c r="DG93" s="359"/>
      <c r="DH93" s="359"/>
      <c r="DI93" s="359"/>
      <c r="DJ93" s="359"/>
      <c r="DK93" s="359"/>
      <c r="DL93" s="359"/>
      <c r="DM93" s="359"/>
      <c r="DN93" s="408"/>
      <c r="DO93" s="408"/>
      <c r="DP93" s="408"/>
      <c r="DQ93" s="408"/>
      <c r="DR93" s="408"/>
      <c r="DS93" s="408"/>
      <c r="DT93" s="408"/>
      <c r="DU93" s="408"/>
      <c r="DV93" s="408"/>
      <c r="DW93" s="408"/>
      <c r="DX93" s="408"/>
      <c r="DY93" s="408"/>
      <c r="DZ93" s="408"/>
      <c r="EA93" s="359"/>
      <c r="EB93" s="359"/>
      <c r="EC93" s="359"/>
      <c r="ED93" s="359"/>
      <c r="EE93" s="359"/>
      <c r="EF93" s="359"/>
      <c r="EG93" s="359"/>
      <c r="EH93" s="359"/>
      <c r="EI93" s="359"/>
      <c r="EJ93" s="359"/>
      <c r="EK93" s="359"/>
      <c r="EL93" s="359"/>
      <c r="EM93" s="359"/>
      <c r="EN93" s="359"/>
      <c r="EO93" s="359"/>
      <c r="EP93" s="360"/>
      <c r="EQ93" s="360"/>
      <c r="ER93" s="360"/>
      <c r="ES93" s="360"/>
      <c r="ET93" s="360"/>
      <c r="EU93" s="360"/>
      <c r="EV93" s="360"/>
      <c r="EW93" s="360"/>
      <c r="EX93" s="360"/>
      <c r="EY93" s="360"/>
      <c r="EZ93" s="360"/>
      <c r="FA93" s="360"/>
      <c r="FB93" s="360"/>
      <c r="FC93" s="360"/>
      <c r="FD93" s="360"/>
      <c r="FE93" s="360"/>
      <c r="FF93" s="360"/>
      <c r="FG93" s="360"/>
      <c r="FH93" s="352"/>
      <c r="FI93" s="352"/>
      <c r="FJ93" s="352"/>
      <c r="FK93" s="352"/>
      <c r="FL93" s="352"/>
      <c r="FM93" s="352"/>
      <c r="FN93" s="352"/>
      <c r="FO93" s="345"/>
      <c r="FP93" s="345"/>
      <c r="FQ93" s="345"/>
      <c r="FR93" s="345"/>
      <c r="FS93" s="345"/>
    </row>
    <row r="94" spans="1:175" s="112" customFormat="1" ht="11.25" hidden="1" customHeight="1" x14ac:dyDescent="0.25">
      <c r="A94" s="11"/>
      <c r="B94" s="71"/>
      <c r="C94" s="71"/>
      <c r="D94" s="71"/>
      <c r="E94" s="542"/>
      <c r="F94" s="542"/>
      <c r="G94" s="542"/>
      <c r="H94" s="538"/>
      <c r="I94" s="537"/>
      <c r="J94" s="537"/>
      <c r="K94" s="537"/>
      <c r="L94" s="537"/>
      <c r="M94" s="537"/>
      <c r="N94" s="537"/>
      <c r="O94" s="537"/>
      <c r="P94" s="537"/>
      <c r="Q94" s="537"/>
      <c r="R94" s="537"/>
      <c r="S94" s="537"/>
      <c r="T94" s="537"/>
      <c r="U94" s="537"/>
      <c r="V94" s="537"/>
      <c r="W94" s="12"/>
      <c r="X94" s="12"/>
      <c r="Y94" s="12"/>
      <c r="Z94" s="12"/>
      <c r="AA94" s="105"/>
      <c r="AB94" s="100"/>
      <c r="AC94" s="100"/>
      <c r="AD94" s="100"/>
      <c r="AE94" s="100"/>
      <c r="AF94" s="100"/>
      <c r="AG94" s="100"/>
      <c r="AH94" s="100"/>
      <c r="AI94" s="100"/>
      <c r="AJ94" s="100"/>
      <c r="AK94" s="100"/>
      <c r="AL94" s="100"/>
      <c r="AM94" s="100"/>
      <c r="AN94" s="100"/>
      <c r="AO94" s="100"/>
      <c r="AP94" s="100"/>
      <c r="AQ94" s="100"/>
      <c r="AR94" s="100"/>
      <c r="AS94" s="100"/>
      <c r="AT94" s="100"/>
      <c r="AU94" s="100"/>
      <c r="AV94" s="100"/>
      <c r="AW94" s="109"/>
      <c r="AX94" s="100"/>
      <c r="AY94" s="130"/>
      <c r="AZ94" s="346"/>
      <c r="BA94" s="343"/>
      <c r="BB94" s="389"/>
      <c r="BC94" s="395"/>
      <c r="BD94" s="395"/>
      <c r="BE94" s="395"/>
      <c r="BF94" s="395"/>
      <c r="BG94" s="395"/>
      <c r="BH94" s="395"/>
      <c r="BI94" s="343"/>
      <c r="BJ94" s="357"/>
      <c r="BK94" s="357"/>
      <c r="BL94" s="357"/>
      <c r="BM94" s="357"/>
      <c r="BN94" s="357"/>
      <c r="BO94" s="357"/>
      <c r="BP94" s="357"/>
      <c r="BQ94" s="359"/>
      <c r="BR94" s="359"/>
      <c r="BS94" s="359"/>
      <c r="BT94" s="359"/>
      <c r="BU94" s="359"/>
      <c r="BV94" s="359"/>
      <c r="BW94" s="359"/>
      <c r="BX94" s="359"/>
      <c r="BY94" s="359"/>
      <c r="BZ94" s="359"/>
      <c r="CA94" s="359"/>
      <c r="CB94" s="359"/>
      <c r="CC94" s="359"/>
      <c r="CD94" s="359"/>
      <c r="CE94" s="359"/>
      <c r="CF94" s="359"/>
      <c r="CG94" s="359"/>
      <c r="CH94" s="359"/>
      <c r="CI94" s="359"/>
      <c r="CJ94" s="359"/>
      <c r="CK94" s="359"/>
      <c r="CL94" s="359"/>
      <c r="CM94" s="359"/>
      <c r="CN94" s="359"/>
      <c r="CO94" s="359"/>
      <c r="CP94" s="359"/>
      <c r="CQ94" s="359"/>
      <c r="CR94" s="359"/>
      <c r="CS94" s="359"/>
      <c r="CT94" s="359"/>
      <c r="CU94" s="359"/>
      <c r="CV94" s="359"/>
      <c r="CW94" s="359"/>
      <c r="CX94" s="359"/>
      <c r="CY94" s="359"/>
      <c r="CZ94" s="359"/>
      <c r="DA94" s="359"/>
      <c r="DB94" s="359"/>
      <c r="DC94" s="359"/>
      <c r="DD94" s="359"/>
      <c r="DE94" s="359"/>
      <c r="DF94" s="359"/>
      <c r="DG94" s="359"/>
      <c r="DH94" s="359"/>
      <c r="DI94" s="359"/>
      <c r="DJ94" s="359"/>
      <c r="DK94" s="359"/>
      <c r="DL94" s="359"/>
      <c r="DM94" s="359"/>
      <c r="DN94" s="408"/>
      <c r="DO94" s="408"/>
      <c r="DP94" s="408"/>
      <c r="DQ94" s="408"/>
      <c r="DR94" s="408"/>
      <c r="DS94" s="408"/>
      <c r="DT94" s="408"/>
      <c r="DU94" s="408"/>
      <c r="DV94" s="408"/>
      <c r="DW94" s="408"/>
      <c r="DX94" s="408"/>
      <c r="DY94" s="408"/>
      <c r="DZ94" s="408"/>
      <c r="EA94" s="359"/>
      <c r="EB94" s="359"/>
      <c r="EC94" s="359"/>
      <c r="ED94" s="359"/>
      <c r="EE94" s="359"/>
      <c r="EF94" s="359"/>
      <c r="EG94" s="359"/>
      <c r="EH94" s="359"/>
      <c r="EI94" s="359"/>
      <c r="EJ94" s="359"/>
      <c r="EK94" s="359"/>
      <c r="EL94" s="359"/>
      <c r="EM94" s="359"/>
      <c r="EN94" s="359"/>
      <c r="EO94" s="359"/>
      <c r="EP94" s="360"/>
      <c r="EQ94" s="360"/>
      <c r="ER94" s="360"/>
      <c r="ES94" s="360"/>
      <c r="ET94" s="360"/>
      <c r="EU94" s="360"/>
      <c r="EV94" s="360"/>
      <c r="EW94" s="360"/>
      <c r="EX94" s="360"/>
      <c r="EY94" s="360"/>
      <c r="EZ94" s="360"/>
      <c r="FA94" s="360"/>
      <c r="FB94" s="360"/>
      <c r="FC94" s="360"/>
      <c r="FD94" s="360"/>
      <c r="FE94" s="360"/>
      <c r="FF94" s="360"/>
      <c r="FG94" s="360"/>
      <c r="FH94" s="352"/>
      <c r="FI94" s="352"/>
      <c r="FJ94" s="352"/>
      <c r="FK94" s="352"/>
      <c r="FL94" s="352"/>
      <c r="FM94" s="352"/>
      <c r="FN94" s="352"/>
      <c r="FO94" s="345"/>
      <c r="FP94" s="345"/>
      <c r="FQ94" s="345"/>
      <c r="FR94" s="345"/>
      <c r="FS94" s="345"/>
    </row>
    <row r="95" spans="1:175" s="112" customFormat="1" ht="11.25" hidden="1" customHeight="1" x14ac:dyDescent="0.25">
      <c r="A95" s="11"/>
      <c r="B95" s="71"/>
      <c r="C95" s="71"/>
      <c r="D95" s="71"/>
      <c r="E95" s="534"/>
      <c r="F95" s="535"/>
      <c r="G95" s="535"/>
      <c r="H95" s="538"/>
      <c r="I95" s="537"/>
      <c r="J95" s="537"/>
      <c r="K95" s="537"/>
      <c r="L95" s="537"/>
      <c r="M95" s="537"/>
      <c r="N95" s="537"/>
      <c r="O95" s="537"/>
      <c r="P95" s="537"/>
      <c r="Q95" s="537"/>
      <c r="R95" s="537"/>
      <c r="S95" s="537"/>
      <c r="T95" s="537"/>
      <c r="U95" s="537"/>
      <c r="V95" s="537"/>
      <c r="W95" s="12"/>
      <c r="X95" s="12"/>
      <c r="Y95" s="12"/>
      <c r="Z95" s="12"/>
      <c r="AA95" s="105"/>
      <c r="AB95" s="100"/>
      <c r="AC95" s="100"/>
      <c r="AD95" s="100"/>
      <c r="AE95" s="100"/>
      <c r="AF95" s="100"/>
      <c r="AG95" s="100"/>
      <c r="AH95" s="100"/>
      <c r="AI95" s="100"/>
      <c r="AJ95" s="100"/>
      <c r="AK95" s="100"/>
      <c r="AL95" s="100"/>
      <c r="AM95" s="100"/>
      <c r="AN95" s="100"/>
      <c r="AO95" s="100"/>
      <c r="AP95" s="100"/>
      <c r="AQ95" s="100"/>
      <c r="AR95" s="100"/>
      <c r="AS95" s="100"/>
      <c r="AT95" s="100"/>
      <c r="AU95" s="100"/>
      <c r="AV95" s="100"/>
      <c r="AW95" s="109"/>
      <c r="AX95" s="100"/>
      <c r="AY95" s="130"/>
      <c r="AZ95" s="346"/>
      <c r="BA95" s="343"/>
      <c r="BB95" s="389"/>
      <c r="BC95" s="395"/>
      <c r="BD95" s="395"/>
      <c r="BE95" s="395"/>
      <c r="BF95" s="395"/>
      <c r="BG95" s="395"/>
      <c r="BH95" s="395"/>
      <c r="BI95" s="343"/>
      <c r="BJ95" s="357"/>
      <c r="BK95" s="357"/>
      <c r="BL95" s="357"/>
      <c r="BM95" s="357"/>
      <c r="BN95" s="357"/>
      <c r="BO95" s="357"/>
      <c r="BP95" s="357"/>
      <c r="BQ95" s="359"/>
      <c r="BR95" s="359"/>
      <c r="BS95" s="359"/>
      <c r="BT95" s="359"/>
      <c r="BU95" s="359"/>
      <c r="BV95" s="359"/>
      <c r="BW95" s="359"/>
      <c r="BX95" s="359"/>
      <c r="BY95" s="359"/>
      <c r="BZ95" s="359"/>
      <c r="CA95" s="359"/>
      <c r="CB95" s="359"/>
      <c r="CC95" s="359"/>
      <c r="CD95" s="359"/>
      <c r="CE95" s="359"/>
      <c r="CF95" s="359"/>
      <c r="CG95" s="359"/>
      <c r="CH95" s="359"/>
      <c r="CI95" s="359"/>
      <c r="CJ95" s="359"/>
      <c r="CK95" s="359"/>
      <c r="CL95" s="359"/>
      <c r="CM95" s="359"/>
      <c r="CN95" s="359"/>
      <c r="CO95" s="359"/>
      <c r="CP95" s="359"/>
      <c r="CQ95" s="359"/>
      <c r="CR95" s="359"/>
      <c r="CS95" s="359"/>
      <c r="CT95" s="359"/>
      <c r="CU95" s="359"/>
      <c r="CV95" s="359"/>
      <c r="CW95" s="359"/>
      <c r="CX95" s="359"/>
      <c r="CY95" s="359"/>
      <c r="CZ95" s="359"/>
      <c r="DA95" s="359"/>
      <c r="DB95" s="359"/>
      <c r="DC95" s="359"/>
      <c r="DD95" s="359"/>
      <c r="DE95" s="359"/>
      <c r="DF95" s="359"/>
      <c r="DG95" s="359"/>
      <c r="DH95" s="359"/>
      <c r="DI95" s="359"/>
      <c r="DJ95" s="359"/>
      <c r="DK95" s="359"/>
      <c r="DL95" s="359"/>
      <c r="DM95" s="359"/>
      <c r="DN95" s="408"/>
      <c r="DO95" s="408"/>
      <c r="DP95" s="408"/>
      <c r="DQ95" s="408"/>
      <c r="DR95" s="408"/>
      <c r="DS95" s="408"/>
      <c r="DT95" s="408"/>
      <c r="DU95" s="408"/>
      <c r="DV95" s="408"/>
      <c r="DW95" s="408"/>
      <c r="DX95" s="408"/>
      <c r="DY95" s="408"/>
      <c r="DZ95" s="408"/>
      <c r="EA95" s="359"/>
      <c r="EB95" s="359"/>
      <c r="EC95" s="359"/>
      <c r="ED95" s="359"/>
      <c r="EE95" s="359"/>
      <c r="EF95" s="359"/>
      <c r="EG95" s="359"/>
      <c r="EH95" s="359"/>
      <c r="EI95" s="359"/>
      <c r="EJ95" s="359"/>
      <c r="EK95" s="359"/>
      <c r="EL95" s="359"/>
      <c r="EM95" s="359"/>
      <c r="EN95" s="359"/>
      <c r="EO95" s="359"/>
      <c r="EP95" s="360"/>
      <c r="EQ95" s="360"/>
      <c r="ER95" s="360"/>
      <c r="ES95" s="360"/>
      <c r="ET95" s="360"/>
      <c r="EU95" s="360"/>
      <c r="EV95" s="360"/>
      <c r="EW95" s="360"/>
      <c r="EX95" s="360"/>
      <c r="EY95" s="360"/>
      <c r="EZ95" s="360"/>
      <c r="FA95" s="360"/>
      <c r="FB95" s="360"/>
      <c r="FC95" s="360"/>
      <c r="FD95" s="360"/>
      <c r="FE95" s="360"/>
      <c r="FF95" s="360"/>
      <c r="FG95" s="360"/>
      <c r="FH95" s="352"/>
      <c r="FI95" s="352"/>
      <c r="FJ95" s="352"/>
      <c r="FK95" s="352"/>
      <c r="FL95" s="352"/>
      <c r="FM95" s="352"/>
      <c r="FN95" s="352"/>
      <c r="FO95" s="345"/>
      <c r="FP95" s="345"/>
      <c r="FQ95" s="345"/>
      <c r="FR95" s="345"/>
      <c r="FS95" s="345"/>
    </row>
    <row r="96" spans="1:175" s="112" customFormat="1" ht="11.25" hidden="1" customHeight="1" x14ac:dyDescent="0.25">
      <c r="A96" s="11"/>
      <c r="B96" s="71"/>
      <c r="C96" s="71"/>
      <c r="D96" s="71"/>
      <c r="E96" s="534"/>
      <c r="F96" s="535"/>
      <c r="G96" s="535"/>
      <c r="H96" s="536"/>
      <c r="I96" s="537"/>
      <c r="J96" s="537"/>
      <c r="K96" s="537"/>
      <c r="L96" s="537"/>
      <c r="M96" s="537"/>
      <c r="N96" s="537"/>
      <c r="O96" s="537"/>
      <c r="P96" s="537"/>
      <c r="Q96" s="537"/>
      <c r="R96" s="537"/>
      <c r="S96" s="537"/>
      <c r="T96" s="537"/>
      <c r="U96" s="537"/>
      <c r="V96" s="537"/>
      <c r="W96" s="12"/>
      <c r="X96" s="12"/>
      <c r="Y96" s="12"/>
      <c r="Z96" s="12"/>
      <c r="AA96" s="105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100"/>
      <c r="AO96" s="100"/>
      <c r="AP96" s="100"/>
      <c r="AQ96" s="100"/>
      <c r="AR96" s="100"/>
      <c r="AS96" s="100"/>
      <c r="AT96" s="100"/>
      <c r="AU96" s="100"/>
      <c r="AV96" s="100"/>
      <c r="AW96" s="109"/>
      <c r="AX96" s="100"/>
      <c r="AY96" s="130"/>
      <c r="AZ96" s="346"/>
      <c r="BA96" s="343"/>
      <c r="BB96" s="389"/>
      <c r="BC96" s="395"/>
      <c r="BD96" s="395"/>
      <c r="BE96" s="395"/>
      <c r="BF96" s="395"/>
      <c r="BG96" s="395"/>
      <c r="BH96" s="395"/>
      <c r="BI96" s="343"/>
      <c r="BJ96" s="357"/>
      <c r="BK96" s="357"/>
      <c r="BL96" s="357"/>
      <c r="BM96" s="357"/>
      <c r="BN96" s="357"/>
      <c r="BO96" s="357"/>
      <c r="BP96" s="357"/>
      <c r="BQ96" s="359"/>
      <c r="BR96" s="359"/>
      <c r="BS96" s="359"/>
      <c r="BT96" s="359"/>
      <c r="BU96" s="359"/>
      <c r="BV96" s="359"/>
      <c r="BW96" s="359"/>
      <c r="BX96" s="359"/>
      <c r="BY96" s="359"/>
      <c r="BZ96" s="359"/>
      <c r="CA96" s="359"/>
      <c r="CB96" s="359"/>
      <c r="CC96" s="359"/>
      <c r="CD96" s="359"/>
      <c r="CE96" s="359"/>
      <c r="CF96" s="359"/>
      <c r="CG96" s="359"/>
      <c r="CH96" s="359"/>
      <c r="CI96" s="359"/>
      <c r="CJ96" s="359"/>
      <c r="CK96" s="359"/>
      <c r="CL96" s="359"/>
      <c r="CM96" s="359"/>
      <c r="CN96" s="359"/>
      <c r="CO96" s="359"/>
      <c r="CP96" s="359"/>
      <c r="CQ96" s="359"/>
      <c r="CR96" s="359"/>
      <c r="CS96" s="359"/>
      <c r="CT96" s="359"/>
      <c r="CU96" s="359"/>
      <c r="CV96" s="359"/>
      <c r="CW96" s="359"/>
      <c r="CX96" s="359"/>
      <c r="CY96" s="359"/>
      <c r="CZ96" s="359"/>
      <c r="DA96" s="359"/>
      <c r="DB96" s="359"/>
      <c r="DC96" s="359"/>
      <c r="DD96" s="359"/>
      <c r="DE96" s="359"/>
      <c r="DF96" s="359"/>
      <c r="DG96" s="359"/>
      <c r="DH96" s="359"/>
      <c r="DI96" s="359"/>
      <c r="DJ96" s="359"/>
      <c r="DK96" s="359"/>
      <c r="DL96" s="359"/>
      <c r="DM96" s="359"/>
      <c r="DN96" s="408"/>
      <c r="DO96" s="408"/>
      <c r="DP96" s="408"/>
      <c r="DQ96" s="408"/>
      <c r="DR96" s="408"/>
      <c r="DS96" s="408"/>
      <c r="DT96" s="408"/>
      <c r="DU96" s="408"/>
      <c r="DV96" s="408"/>
      <c r="DW96" s="408"/>
      <c r="DX96" s="408"/>
      <c r="DY96" s="408"/>
      <c r="DZ96" s="408"/>
      <c r="EA96" s="359"/>
      <c r="EB96" s="359"/>
      <c r="EC96" s="359"/>
      <c r="ED96" s="359"/>
      <c r="EE96" s="359"/>
      <c r="EF96" s="359"/>
      <c r="EG96" s="359"/>
      <c r="EH96" s="359"/>
      <c r="EI96" s="359"/>
      <c r="EJ96" s="359"/>
      <c r="EK96" s="359"/>
      <c r="EL96" s="359"/>
      <c r="EM96" s="359"/>
      <c r="EN96" s="359"/>
      <c r="EO96" s="359"/>
      <c r="EP96" s="360"/>
      <c r="EQ96" s="360"/>
      <c r="ER96" s="360"/>
      <c r="ES96" s="360"/>
      <c r="ET96" s="360"/>
      <c r="EU96" s="360"/>
      <c r="EV96" s="360"/>
      <c r="EW96" s="360"/>
      <c r="EX96" s="360"/>
      <c r="EY96" s="360"/>
      <c r="EZ96" s="360"/>
      <c r="FA96" s="360"/>
      <c r="FB96" s="360"/>
      <c r="FC96" s="360"/>
      <c r="FD96" s="360"/>
      <c r="FE96" s="360"/>
      <c r="FF96" s="360"/>
      <c r="FG96" s="360"/>
      <c r="FH96" s="352"/>
      <c r="FI96" s="352"/>
      <c r="FJ96" s="352"/>
      <c r="FK96" s="352"/>
      <c r="FL96" s="352"/>
      <c r="FM96" s="352"/>
      <c r="FN96" s="352"/>
      <c r="FO96" s="345"/>
      <c r="FP96" s="345"/>
      <c r="FQ96" s="345"/>
      <c r="FR96" s="345"/>
      <c r="FS96" s="345"/>
    </row>
    <row r="97" spans="1:175" s="112" customFormat="1" ht="11.25" hidden="1" customHeight="1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2"/>
      <c r="X97" s="12"/>
      <c r="Y97" s="12"/>
      <c r="Z97" s="12"/>
      <c r="AA97" s="105"/>
      <c r="AB97" s="100"/>
      <c r="AC97" s="100"/>
      <c r="AD97" s="100"/>
      <c r="AE97" s="100"/>
      <c r="AF97" s="100"/>
      <c r="AG97" s="100"/>
      <c r="AH97" s="100"/>
      <c r="AI97" s="100"/>
      <c r="AJ97" s="100"/>
      <c r="AK97" s="100"/>
      <c r="AL97" s="100"/>
      <c r="AM97" s="100"/>
      <c r="AN97" s="100"/>
      <c r="AO97" s="100"/>
      <c r="AP97" s="100"/>
      <c r="AQ97" s="100"/>
      <c r="AR97" s="100"/>
      <c r="AS97" s="100"/>
      <c r="AT97" s="100"/>
      <c r="AU97" s="100"/>
      <c r="AV97" s="100"/>
      <c r="AW97" s="109"/>
      <c r="AX97" s="100"/>
      <c r="AY97" s="130"/>
      <c r="AZ97" s="346"/>
      <c r="BA97" s="343"/>
      <c r="BB97" s="389"/>
      <c r="BC97" s="395"/>
      <c r="BD97" s="395"/>
      <c r="BE97" s="395"/>
      <c r="BF97" s="395"/>
      <c r="BG97" s="395"/>
      <c r="BH97" s="395"/>
      <c r="BI97" s="343"/>
      <c r="BJ97" s="357"/>
      <c r="BK97" s="357"/>
      <c r="BL97" s="357"/>
      <c r="BM97" s="357"/>
      <c r="BN97" s="357"/>
      <c r="BO97" s="357"/>
      <c r="BP97" s="357"/>
      <c r="BQ97" s="359"/>
      <c r="BR97" s="359"/>
      <c r="BS97" s="359"/>
      <c r="BT97" s="359"/>
      <c r="BU97" s="359"/>
      <c r="BV97" s="359"/>
      <c r="BW97" s="359"/>
      <c r="BX97" s="359"/>
      <c r="BY97" s="359"/>
      <c r="BZ97" s="359"/>
      <c r="CA97" s="359"/>
      <c r="CB97" s="359"/>
      <c r="CC97" s="359"/>
      <c r="CD97" s="359"/>
      <c r="CE97" s="359"/>
      <c r="CF97" s="359"/>
      <c r="CG97" s="359"/>
      <c r="CH97" s="359"/>
      <c r="CI97" s="359"/>
      <c r="CJ97" s="359"/>
      <c r="CK97" s="359"/>
      <c r="CL97" s="359"/>
      <c r="CM97" s="359"/>
      <c r="CN97" s="359"/>
      <c r="CO97" s="359"/>
      <c r="CP97" s="359"/>
      <c r="CQ97" s="359"/>
      <c r="CR97" s="359"/>
      <c r="CS97" s="359"/>
      <c r="CT97" s="359"/>
      <c r="CU97" s="359"/>
      <c r="CV97" s="359"/>
      <c r="CW97" s="359"/>
      <c r="CX97" s="359"/>
      <c r="CY97" s="359"/>
      <c r="CZ97" s="359"/>
      <c r="DA97" s="359"/>
      <c r="DB97" s="359"/>
      <c r="DC97" s="359"/>
      <c r="DD97" s="359"/>
      <c r="DE97" s="359"/>
      <c r="DF97" s="359"/>
      <c r="DG97" s="359"/>
      <c r="DH97" s="359"/>
      <c r="DI97" s="359"/>
      <c r="DJ97" s="359"/>
      <c r="DK97" s="359"/>
      <c r="DL97" s="359"/>
      <c r="DM97" s="359"/>
      <c r="DN97" s="408"/>
      <c r="DO97" s="408"/>
      <c r="DP97" s="408"/>
      <c r="DQ97" s="408"/>
      <c r="DR97" s="408"/>
      <c r="DS97" s="408"/>
      <c r="DT97" s="408"/>
      <c r="DU97" s="408"/>
      <c r="DV97" s="408"/>
      <c r="DW97" s="408"/>
      <c r="DX97" s="408"/>
      <c r="DY97" s="408"/>
      <c r="DZ97" s="408"/>
      <c r="EA97" s="359"/>
      <c r="EB97" s="359"/>
      <c r="EC97" s="359"/>
      <c r="ED97" s="359"/>
      <c r="EE97" s="359"/>
      <c r="EF97" s="359"/>
      <c r="EG97" s="359"/>
      <c r="EH97" s="359"/>
      <c r="EI97" s="359"/>
      <c r="EJ97" s="359"/>
      <c r="EK97" s="359"/>
      <c r="EL97" s="359"/>
      <c r="EM97" s="359"/>
      <c r="EN97" s="359"/>
      <c r="EO97" s="359"/>
      <c r="EP97" s="360"/>
      <c r="EQ97" s="360"/>
      <c r="ER97" s="360"/>
      <c r="ES97" s="360"/>
      <c r="ET97" s="360"/>
      <c r="EU97" s="360"/>
      <c r="EV97" s="360"/>
      <c r="EW97" s="360"/>
      <c r="EX97" s="360"/>
      <c r="EY97" s="360"/>
      <c r="EZ97" s="360"/>
      <c r="FA97" s="360"/>
      <c r="FB97" s="360"/>
      <c r="FC97" s="360"/>
      <c r="FD97" s="360"/>
      <c r="FE97" s="360"/>
      <c r="FF97" s="360"/>
      <c r="FG97" s="360"/>
      <c r="FH97" s="352"/>
      <c r="FI97" s="352"/>
      <c r="FJ97" s="352"/>
      <c r="FK97" s="352"/>
      <c r="FL97" s="352"/>
      <c r="FM97" s="352"/>
      <c r="FN97" s="352"/>
      <c r="FO97" s="345"/>
      <c r="FP97" s="345"/>
      <c r="FQ97" s="345"/>
      <c r="FR97" s="345"/>
      <c r="FS97" s="345"/>
    </row>
    <row r="98" spans="1:175" s="112" customFormat="1" ht="12" hidden="1" customHeight="1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2"/>
      <c r="X98" s="12"/>
      <c r="Y98" s="12"/>
      <c r="Z98" s="12"/>
      <c r="AA98" s="105"/>
      <c r="AB98" s="100"/>
      <c r="AC98" s="100"/>
      <c r="AD98" s="100"/>
      <c r="AE98" s="100"/>
      <c r="AF98" s="100"/>
      <c r="AG98" s="100"/>
      <c r="AH98" s="100"/>
      <c r="AI98" s="100"/>
      <c r="AJ98" s="100"/>
      <c r="AK98" s="100"/>
      <c r="AL98" s="100"/>
      <c r="AM98" s="100"/>
      <c r="AN98" s="100"/>
      <c r="AO98" s="100"/>
      <c r="AP98" s="100"/>
      <c r="AQ98" s="100"/>
      <c r="AR98" s="100"/>
      <c r="AS98" s="100"/>
      <c r="AT98" s="100"/>
      <c r="AU98" s="100"/>
      <c r="AV98" s="100"/>
      <c r="AW98" s="109"/>
      <c r="AX98" s="100"/>
      <c r="AY98" s="130"/>
      <c r="AZ98" s="346"/>
      <c r="BA98" s="343"/>
      <c r="BB98" s="389"/>
      <c r="BC98" s="395"/>
      <c r="BD98" s="395"/>
      <c r="BE98" s="395"/>
      <c r="BF98" s="395"/>
      <c r="BG98" s="395"/>
      <c r="BH98" s="395"/>
      <c r="BI98" s="343"/>
      <c r="BJ98" s="357"/>
      <c r="BK98" s="357"/>
      <c r="BL98" s="357"/>
      <c r="BM98" s="357"/>
      <c r="BN98" s="357"/>
      <c r="BO98" s="357"/>
      <c r="BP98" s="357"/>
      <c r="BQ98" s="359"/>
      <c r="BR98" s="359"/>
      <c r="BS98" s="359"/>
      <c r="BT98" s="359"/>
      <c r="BU98" s="359"/>
      <c r="BV98" s="359"/>
      <c r="BW98" s="359"/>
      <c r="BX98" s="359"/>
      <c r="BY98" s="359"/>
      <c r="BZ98" s="359"/>
      <c r="CA98" s="359"/>
      <c r="CB98" s="359"/>
      <c r="CC98" s="359"/>
      <c r="CD98" s="359"/>
      <c r="CE98" s="359"/>
      <c r="CF98" s="359"/>
      <c r="CG98" s="359"/>
      <c r="CH98" s="359"/>
      <c r="CI98" s="359"/>
      <c r="CJ98" s="359"/>
      <c r="CK98" s="359"/>
      <c r="CL98" s="359"/>
      <c r="CM98" s="359"/>
      <c r="CN98" s="359"/>
      <c r="CO98" s="359"/>
      <c r="CP98" s="359"/>
      <c r="CQ98" s="359"/>
      <c r="CR98" s="359"/>
      <c r="CS98" s="359"/>
      <c r="CT98" s="359"/>
      <c r="CU98" s="359"/>
      <c r="CV98" s="359"/>
      <c r="CW98" s="359"/>
      <c r="CX98" s="359"/>
      <c r="CY98" s="359"/>
      <c r="CZ98" s="359"/>
      <c r="DA98" s="359"/>
      <c r="DB98" s="359"/>
      <c r="DC98" s="359"/>
      <c r="DD98" s="359"/>
      <c r="DE98" s="359"/>
      <c r="DF98" s="359"/>
      <c r="DG98" s="359"/>
      <c r="DH98" s="359"/>
      <c r="DI98" s="359"/>
      <c r="DJ98" s="359"/>
      <c r="DK98" s="359"/>
      <c r="DL98" s="359"/>
      <c r="DM98" s="359"/>
      <c r="DN98" s="408"/>
      <c r="DO98" s="408"/>
      <c r="DP98" s="408"/>
      <c r="DQ98" s="408"/>
      <c r="DR98" s="408"/>
      <c r="DS98" s="408"/>
      <c r="DT98" s="408"/>
      <c r="DU98" s="408"/>
      <c r="DV98" s="408"/>
      <c r="DW98" s="408"/>
      <c r="DX98" s="408"/>
      <c r="DY98" s="408"/>
      <c r="DZ98" s="408"/>
      <c r="EA98" s="359"/>
      <c r="EB98" s="359"/>
      <c r="EC98" s="359"/>
      <c r="ED98" s="359"/>
      <c r="EE98" s="359"/>
      <c r="EF98" s="359"/>
      <c r="EG98" s="359"/>
      <c r="EH98" s="359"/>
      <c r="EI98" s="359"/>
      <c r="EJ98" s="359"/>
      <c r="EK98" s="359"/>
      <c r="EL98" s="359"/>
      <c r="EM98" s="359"/>
      <c r="EN98" s="359"/>
      <c r="EO98" s="359"/>
      <c r="EP98" s="360"/>
      <c r="EQ98" s="360"/>
      <c r="ER98" s="360"/>
      <c r="ES98" s="360"/>
      <c r="ET98" s="360"/>
      <c r="EU98" s="360"/>
      <c r="EV98" s="360"/>
      <c r="EW98" s="360"/>
      <c r="EX98" s="360"/>
      <c r="EY98" s="360"/>
      <c r="EZ98" s="360"/>
      <c r="FA98" s="360"/>
      <c r="FB98" s="360"/>
      <c r="FC98" s="360"/>
      <c r="FD98" s="360"/>
      <c r="FE98" s="360"/>
      <c r="FF98" s="360"/>
      <c r="FG98" s="360"/>
      <c r="FH98" s="352"/>
      <c r="FI98" s="352"/>
      <c r="FJ98" s="352"/>
      <c r="FK98" s="352"/>
      <c r="FL98" s="352"/>
      <c r="FM98" s="352"/>
      <c r="FN98" s="352"/>
      <c r="FO98" s="345"/>
      <c r="FP98" s="345"/>
      <c r="FQ98" s="345"/>
      <c r="FR98" s="345"/>
      <c r="FS98" s="345"/>
    </row>
    <row r="99" spans="1:175" s="112" customFormat="1" ht="16.5" hidden="1" customHeight="1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2"/>
      <c r="X99" s="12"/>
      <c r="Y99" s="12"/>
      <c r="Z99" s="12"/>
      <c r="AA99" s="105"/>
      <c r="AB99" s="100"/>
      <c r="AC99" s="100"/>
      <c r="AD99" s="100"/>
      <c r="AE99" s="100"/>
      <c r="AF99" s="100"/>
      <c r="AG99" s="100"/>
      <c r="AH99" s="100"/>
      <c r="AI99" s="100"/>
      <c r="AJ99" s="100"/>
      <c r="AK99" s="100"/>
      <c r="AL99" s="100"/>
      <c r="AM99" s="100"/>
      <c r="AN99" s="100"/>
      <c r="AO99" s="100"/>
      <c r="AP99" s="100"/>
      <c r="AQ99" s="100"/>
      <c r="AR99" s="100"/>
      <c r="AS99" s="100"/>
      <c r="AT99" s="100"/>
      <c r="AU99" s="100"/>
      <c r="AV99" s="100"/>
      <c r="AW99" s="109"/>
      <c r="AX99" s="100"/>
      <c r="AY99" s="130"/>
      <c r="AZ99" s="346"/>
      <c r="BA99" s="343"/>
      <c r="BB99" s="389"/>
      <c r="BC99" s="395"/>
      <c r="BD99" s="395"/>
      <c r="BE99" s="395"/>
      <c r="BF99" s="395"/>
      <c r="BG99" s="395"/>
      <c r="BH99" s="395"/>
      <c r="BI99" s="343"/>
      <c r="BJ99" s="357"/>
      <c r="BK99" s="357"/>
      <c r="BL99" s="357"/>
      <c r="BM99" s="357"/>
      <c r="BN99" s="357"/>
      <c r="BO99" s="357"/>
      <c r="BP99" s="357"/>
      <c r="BQ99" s="359"/>
      <c r="BR99" s="359"/>
      <c r="BS99" s="359"/>
      <c r="BT99" s="359"/>
      <c r="BU99" s="359"/>
      <c r="BV99" s="359"/>
      <c r="BW99" s="359"/>
      <c r="BX99" s="359"/>
      <c r="BY99" s="359"/>
      <c r="BZ99" s="359"/>
      <c r="CA99" s="359"/>
      <c r="CB99" s="359"/>
      <c r="CC99" s="359"/>
      <c r="CD99" s="359"/>
      <c r="CE99" s="359"/>
      <c r="CF99" s="359"/>
      <c r="CG99" s="359"/>
      <c r="CH99" s="359"/>
      <c r="CI99" s="359"/>
      <c r="CJ99" s="359"/>
      <c r="CK99" s="359"/>
      <c r="CL99" s="359"/>
      <c r="CM99" s="359"/>
      <c r="CN99" s="359"/>
      <c r="CO99" s="359"/>
      <c r="CP99" s="359"/>
      <c r="CQ99" s="359"/>
      <c r="CR99" s="359"/>
      <c r="CS99" s="359"/>
      <c r="CT99" s="359"/>
      <c r="CU99" s="359"/>
      <c r="CV99" s="359"/>
      <c r="CW99" s="359"/>
      <c r="CX99" s="359"/>
      <c r="CY99" s="359"/>
      <c r="CZ99" s="359"/>
      <c r="DA99" s="359"/>
      <c r="DB99" s="359"/>
      <c r="DC99" s="359"/>
      <c r="DD99" s="359"/>
      <c r="DE99" s="359"/>
      <c r="DF99" s="359"/>
      <c r="DG99" s="359"/>
      <c r="DH99" s="359"/>
      <c r="DI99" s="359"/>
      <c r="DJ99" s="359"/>
      <c r="DK99" s="359"/>
      <c r="DL99" s="359"/>
      <c r="DM99" s="359"/>
      <c r="DN99" s="408"/>
      <c r="DO99" s="408"/>
      <c r="DP99" s="408"/>
      <c r="DQ99" s="408"/>
      <c r="DR99" s="408"/>
      <c r="DS99" s="408"/>
      <c r="DT99" s="408"/>
      <c r="DU99" s="408"/>
      <c r="DV99" s="408"/>
      <c r="DW99" s="408"/>
      <c r="DX99" s="408"/>
      <c r="DY99" s="408"/>
      <c r="DZ99" s="408"/>
      <c r="EA99" s="359"/>
      <c r="EB99" s="359"/>
      <c r="EC99" s="359"/>
      <c r="ED99" s="359"/>
      <c r="EE99" s="359"/>
      <c r="EF99" s="359"/>
      <c r="EG99" s="359"/>
      <c r="EH99" s="359"/>
      <c r="EI99" s="359"/>
      <c r="EJ99" s="359"/>
      <c r="EK99" s="359"/>
      <c r="EL99" s="359"/>
      <c r="EM99" s="359"/>
      <c r="EN99" s="359"/>
      <c r="EO99" s="359"/>
      <c r="EP99" s="360"/>
      <c r="EQ99" s="360"/>
      <c r="ER99" s="360"/>
      <c r="ES99" s="360"/>
      <c r="ET99" s="360"/>
      <c r="EU99" s="360"/>
      <c r="EV99" s="360"/>
      <c r="EW99" s="360"/>
      <c r="EX99" s="360"/>
      <c r="EY99" s="360"/>
      <c r="EZ99" s="360"/>
      <c r="FA99" s="360"/>
      <c r="FB99" s="360"/>
      <c r="FC99" s="360"/>
      <c r="FD99" s="360"/>
      <c r="FE99" s="360"/>
      <c r="FF99" s="360"/>
      <c r="FG99" s="360"/>
      <c r="FH99" s="352"/>
      <c r="FI99" s="352"/>
      <c r="FJ99" s="352"/>
      <c r="FK99" s="352"/>
      <c r="FL99" s="352"/>
      <c r="FM99" s="352"/>
      <c r="FN99" s="352"/>
      <c r="FO99" s="345"/>
      <c r="FP99" s="345"/>
      <c r="FQ99" s="345"/>
      <c r="FR99" s="345"/>
      <c r="FS99" s="345"/>
    </row>
    <row r="100" spans="1:175" s="112" customFormat="1" ht="16.5" hidden="1" customHeight="1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2"/>
      <c r="X100" s="12"/>
      <c r="Y100" s="12"/>
      <c r="Z100" s="12"/>
      <c r="AA100" s="105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N100" s="100"/>
      <c r="AO100" s="100"/>
      <c r="AP100" s="100"/>
      <c r="AQ100" s="100"/>
      <c r="AR100" s="100"/>
      <c r="AS100" s="100"/>
      <c r="AT100" s="100"/>
      <c r="AU100" s="100"/>
      <c r="AV100" s="100"/>
      <c r="AW100" s="109"/>
      <c r="AX100" s="100"/>
      <c r="AY100" s="130"/>
      <c r="AZ100" s="346"/>
      <c r="BA100" s="343"/>
      <c r="BB100" s="389"/>
      <c r="BC100" s="395"/>
      <c r="BD100" s="395"/>
      <c r="BE100" s="395"/>
      <c r="BF100" s="395"/>
      <c r="BG100" s="395"/>
      <c r="BH100" s="395"/>
      <c r="BI100" s="343"/>
      <c r="BJ100" s="357"/>
      <c r="BK100" s="357"/>
      <c r="BL100" s="357"/>
      <c r="BM100" s="357"/>
      <c r="BN100" s="357"/>
      <c r="BO100" s="357"/>
      <c r="BP100" s="357"/>
      <c r="BQ100" s="359"/>
      <c r="BR100" s="359"/>
      <c r="BS100" s="359"/>
      <c r="BT100" s="359"/>
      <c r="BU100" s="359"/>
      <c r="BV100" s="359"/>
      <c r="BW100" s="359"/>
      <c r="BX100" s="359"/>
      <c r="BY100" s="359"/>
      <c r="BZ100" s="359"/>
      <c r="CA100" s="359"/>
      <c r="CB100" s="359"/>
      <c r="CC100" s="359"/>
      <c r="CD100" s="359"/>
      <c r="CE100" s="359"/>
      <c r="CF100" s="359"/>
      <c r="CG100" s="359"/>
      <c r="CH100" s="359"/>
      <c r="CI100" s="359"/>
      <c r="CJ100" s="359"/>
      <c r="CK100" s="359"/>
      <c r="CL100" s="359"/>
      <c r="CM100" s="359"/>
      <c r="CN100" s="359"/>
      <c r="CO100" s="359"/>
      <c r="CP100" s="359"/>
      <c r="CQ100" s="359"/>
      <c r="CR100" s="359"/>
      <c r="CS100" s="359"/>
      <c r="CT100" s="359"/>
      <c r="CU100" s="359"/>
      <c r="CV100" s="359"/>
      <c r="CW100" s="359"/>
      <c r="CX100" s="359"/>
      <c r="CY100" s="359"/>
      <c r="CZ100" s="359"/>
      <c r="DA100" s="359"/>
      <c r="DB100" s="359"/>
      <c r="DC100" s="359"/>
      <c r="DD100" s="359"/>
      <c r="DE100" s="359"/>
      <c r="DF100" s="359"/>
      <c r="DG100" s="359"/>
      <c r="DH100" s="359"/>
      <c r="DI100" s="359"/>
      <c r="DJ100" s="359"/>
      <c r="DK100" s="359"/>
      <c r="DL100" s="359"/>
      <c r="DM100" s="359"/>
      <c r="DN100" s="408"/>
      <c r="DO100" s="408"/>
      <c r="DP100" s="408"/>
      <c r="DQ100" s="408"/>
      <c r="DR100" s="408"/>
      <c r="DS100" s="408"/>
      <c r="DT100" s="408"/>
      <c r="DU100" s="408"/>
      <c r="DV100" s="408"/>
      <c r="DW100" s="408"/>
      <c r="DX100" s="408"/>
      <c r="DY100" s="408"/>
      <c r="DZ100" s="408"/>
      <c r="EA100" s="359"/>
      <c r="EB100" s="359"/>
      <c r="EC100" s="359"/>
      <c r="ED100" s="359"/>
      <c r="EE100" s="359"/>
      <c r="EF100" s="359"/>
      <c r="EG100" s="359"/>
      <c r="EH100" s="359"/>
      <c r="EI100" s="359"/>
      <c r="EJ100" s="359"/>
      <c r="EK100" s="359"/>
      <c r="EL100" s="359"/>
      <c r="EM100" s="359"/>
      <c r="EN100" s="359"/>
      <c r="EO100" s="359"/>
      <c r="EP100" s="360"/>
      <c r="EQ100" s="360"/>
      <c r="ER100" s="360"/>
      <c r="ES100" s="360"/>
      <c r="ET100" s="360"/>
      <c r="EU100" s="360"/>
      <c r="EV100" s="360"/>
      <c r="EW100" s="360"/>
      <c r="EX100" s="360"/>
      <c r="EY100" s="360"/>
      <c r="EZ100" s="360"/>
      <c r="FA100" s="360"/>
      <c r="FB100" s="360"/>
      <c r="FC100" s="360"/>
      <c r="FD100" s="360"/>
      <c r="FE100" s="360"/>
      <c r="FF100" s="360"/>
      <c r="FG100" s="360"/>
      <c r="FH100" s="352"/>
      <c r="FI100" s="352"/>
      <c r="FJ100" s="352"/>
      <c r="FK100" s="352"/>
      <c r="FL100" s="352"/>
      <c r="FM100" s="352"/>
      <c r="FN100" s="352"/>
      <c r="FO100" s="345"/>
      <c r="FP100" s="345"/>
      <c r="FQ100" s="345"/>
      <c r="FR100" s="345"/>
      <c r="FS100" s="345"/>
    </row>
    <row r="101" spans="1:175" s="112" customFormat="1" ht="16.5" hidden="1" customHeight="1" x14ac:dyDescent="0.25">
      <c r="A101" s="10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2"/>
      <c r="X101" s="12"/>
      <c r="Y101" s="12"/>
      <c r="Z101" s="12"/>
      <c r="AA101" s="105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N101" s="100"/>
      <c r="AO101" s="100"/>
      <c r="AP101" s="100"/>
      <c r="AQ101" s="100"/>
      <c r="AR101" s="100"/>
      <c r="AS101" s="100"/>
      <c r="AT101" s="100"/>
      <c r="AU101" s="100"/>
      <c r="AV101" s="100"/>
      <c r="AW101" s="109"/>
      <c r="AX101" s="100"/>
      <c r="AY101" s="130"/>
      <c r="AZ101" s="346"/>
      <c r="BA101" s="343"/>
      <c r="BB101" s="389"/>
      <c r="BC101" s="395"/>
      <c r="BD101" s="395"/>
      <c r="BE101" s="395"/>
      <c r="BF101" s="395"/>
      <c r="BG101" s="395"/>
      <c r="BH101" s="395"/>
      <c r="BI101" s="343"/>
      <c r="BJ101" s="357"/>
      <c r="BK101" s="357"/>
      <c r="BL101" s="357"/>
      <c r="BM101" s="357"/>
      <c r="BN101" s="357"/>
      <c r="BO101" s="357"/>
      <c r="BP101" s="357"/>
      <c r="BQ101" s="359"/>
      <c r="BR101" s="359"/>
      <c r="BS101" s="359"/>
      <c r="BT101" s="359"/>
      <c r="BU101" s="359"/>
      <c r="BV101" s="359"/>
      <c r="BW101" s="359"/>
      <c r="BX101" s="359"/>
      <c r="BY101" s="359"/>
      <c r="BZ101" s="359"/>
      <c r="CA101" s="359"/>
      <c r="CB101" s="359"/>
      <c r="CC101" s="359"/>
      <c r="CD101" s="359"/>
      <c r="CE101" s="359"/>
      <c r="CF101" s="359"/>
      <c r="CG101" s="359"/>
      <c r="CH101" s="359"/>
      <c r="CI101" s="359"/>
      <c r="CJ101" s="359"/>
      <c r="CK101" s="359"/>
      <c r="CL101" s="359"/>
      <c r="CM101" s="359"/>
      <c r="CN101" s="359"/>
      <c r="CO101" s="359"/>
      <c r="CP101" s="359"/>
      <c r="CQ101" s="359"/>
      <c r="CR101" s="359"/>
      <c r="CS101" s="359"/>
      <c r="CT101" s="359"/>
      <c r="CU101" s="359"/>
      <c r="CV101" s="359"/>
      <c r="CW101" s="359"/>
      <c r="CX101" s="359"/>
      <c r="CY101" s="359"/>
      <c r="CZ101" s="359"/>
      <c r="DA101" s="359"/>
      <c r="DB101" s="359"/>
      <c r="DC101" s="359"/>
      <c r="DD101" s="359"/>
      <c r="DE101" s="359"/>
      <c r="DF101" s="359"/>
      <c r="DG101" s="359"/>
      <c r="DH101" s="359"/>
      <c r="DI101" s="359"/>
      <c r="DJ101" s="359"/>
      <c r="DK101" s="359"/>
      <c r="DL101" s="359"/>
      <c r="DM101" s="359"/>
      <c r="DN101" s="408"/>
      <c r="DO101" s="408"/>
      <c r="DP101" s="408"/>
      <c r="DQ101" s="408"/>
      <c r="DR101" s="408"/>
      <c r="DS101" s="408"/>
      <c r="DT101" s="408"/>
      <c r="DU101" s="408"/>
      <c r="DV101" s="408"/>
      <c r="DW101" s="408"/>
      <c r="DX101" s="408"/>
      <c r="DY101" s="408"/>
      <c r="DZ101" s="408"/>
      <c r="EA101" s="359"/>
      <c r="EB101" s="359"/>
      <c r="EC101" s="359"/>
      <c r="ED101" s="359"/>
      <c r="EE101" s="359"/>
      <c r="EF101" s="359"/>
      <c r="EG101" s="359"/>
      <c r="EH101" s="359"/>
      <c r="EI101" s="359"/>
      <c r="EJ101" s="359"/>
      <c r="EK101" s="359"/>
      <c r="EL101" s="359"/>
      <c r="EM101" s="359"/>
      <c r="EN101" s="359"/>
      <c r="EO101" s="359"/>
      <c r="EP101" s="360"/>
      <c r="EQ101" s="360"/>
      <c r="ER101" s="360"/>
      <c r="ES101" s="360"/>
      <c r="ET101" s="360"/>
      <c r="EU101" s="360"/>
      <c r="EV101" s="360"/>
      <c r="EW101" s="360"/>
      <c r="EX101" s="360"/>
      <c r="EY101" s="360"/>
      <c r="EZ101" s="360"/>
      <c r="FA101" s="360"/>
      <c r="FB101" s="360"/>
      <c r="FC101" s="360"/>
      <c r="FD101" s="360"/>
      <c r="FE101" s="360"/>
      <c r="FF101" s="360"/>
      <c r="FG101" s="360"/>
      <c r="FH101" s="352"/>
      <c r="FI101" s="352"/>
      <c r="FJ101" s="352"/>
      <c r="FK101" s="352"/>
      <c r="FL101" s="352"/>
      <c r="FM101" s="352"/>
      <c r="FN101" s="352"/>
      <c r="FO101" s="345"/>
      <c r="FP101" s="345"/>
      <c r="FQ101" s="345"/>
      <c r="FR101" s="345"/>
      <c r="FS101" s="345"/>
    </row>
    <row r="102" spans="1:175" s="112" customFormat="1" ht="16.5" hidden="1" customHeight="1" x14ac:dyDescent="0.25">
      <c r="A102" s="10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2"/>
      <c r="X102" s="12"/>
      <c r="Y102" s="12"/>
      <c r="Z102" s="12"/>
      <c r="AA102" s="105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100"/>
      <c r="AO102" s="100"/>
      <c r="AP102" s="100"/>
      <c r="AQ102" s="100"/>
      <c r="AR102" s="100"/>
      <c r="AS102" s="100"/>
      <c r="AT102" s="100"/>
      <c r="AU102" s="100"/>
      <c r="AV102" s="100"/>
      <c r="AW102" s="109"/>
      <c r="AX102" s="100"/>
      <c r="AY102" s="130"/>
      <c r="AZ102" s="346"/>
      <c r="BA102" s="343"/>
      <c r="BB102" s="389"/>
      <c r="BC102" s="395"/>
      <c r="BD102" s="395"/>
      <c r="BE102" s="395"/>
      <c r="BF102" s="395"/>
      <c r="BG102" s="395"/>
      <c r="BH102" s="395"/>
      <c r="BI102" s="343"/>
      <c r="BJ102" s="357"/>
      <c r="BK102" s="357"/>
      <c r="BL102" s="357"/>
      <c r="BM102" s="357"/>
      <c r="BN102" s="357"/>
      <c r="BO102" s="357"/>
      <c r="BP102" s="357"/>
      <c r="BQ102" s="359"/>
      <c r="BR102" s="359"/>
      <c r="BS102" s="359"/>
      <c r="BT102" s="359"/>
      <c r="BU102" s="359"/>
      <c r="BV102" s="359"/>
      <c r="BW102" s="359"/>
      <c r="BX102" s="359"/>
      <c r="BY102" s="359"/>
      <c r="BZ102" s="359"/>
      <c r="CA102" s="359"/>
      <c r="CB102" s="359"/>
      <c r="CC102" s="359"/>
      <c r="CD102" s="359"/>
      <c r="CE102" s="359"/>
      <c r="CF102" s="359"/>
      <c r="CG102" s="359"/>
      <c r="CH102" s="359"/>
      <c r="CI102" s="359"/>
      <c r="CJ102" s="359"/>
      <c r="CK102" s="359"/>
      <c r="CL102" s="359"/>
      <c r="CM102" s="359"/>
      <c r="CN102" s="359"/>
      <c r="CO102" s="359"/>
      <c r="CP102" s="359"/>
      <c r="CQ102" s="359"/>
      <c r="CR102" s="359"/>
      <c r="CS102" s="359"/>
      <c r="CT102" s="359"/>
      <c r="CU102" s="359"/>
      <c r="CV102" s="359"/>
      <c r="CW102" s="359"/>
      <c r="CX102" s="359"/>
      <c r="CY102" s="359"/>
      <c r="CZ102" s="359"/>
      <c r="DA102" s="359"/>
      <c r="DB102" s="359"/>
      <c r="DC102" s="359"/>
      <c r="DD102" s="359"/>
      <c r="DE102" s="359"/>
      <c r="DF102" s="359"/>
      <c r="DG102" s="359"/>
      <c r="DH102" s="359"/>
      <c r="DI102" s="359"/>
      <c r="DJ102" s="359"/>
      <c r="DK102" s="359"/>
      <c r="DL102" s="359"/>
      <c r="DM102" s="359"/>
      <c r="DN102" s="408"/>
      <c r="DO102" s="408"/>
      <c r="DP102" s="408"/>
      <c r="DQ102" s="408"/>
      <c r="DR102" s="408"/>
      <c r="DS102" s="408"/>
      <c r="DT102" s="408"/>
      <c r="DU102" s="408"/>
      <c r="DV102" s="408"/>
      <c r="DW102" s="408"/>
      <c r="DX102" s="408"/>
      <c r="DY102" s="408"/>
      <c r="DZ102" s="408"/>
      <c r="EA102" s="359"/>
      <c r="EB102" s="359"/>
      <c r="EC102" s="359"/>
      <c r="ED102" s="359"/>
      <c r="EE102" s="359"/>
      <c r="EF102" s="359"/>
      <c r="EG102" s="359"/>
      <c r="EH102" s="359"/>
      <c r="EI102" s="359"/>
      <c r="EJ102" s="359"/>
      <c r="EK102" s="359"/>
      <c r="EL102" s="359"/>
      <c r="EM102" s="359"/>
      <c r="EN102" s="359"/>
      <c r="EO102" s="359"/>
      <c r="EP102" s="360"/>
      <c r="EQ102" s="360"/>
      <c r="ER102" s="360"/>
      <c r="ES102" s="360"/>
      <c r="ET102" s="360"/>
      <c r="EU102" s="360"/>
      <c r="EV102" s="360"/>
      <c r="EW102" s="360"/>
      <c r="EX102" s="360"/>
      <c r="EY102" s="360"/>
      <c r="EZ102" s="360"/>
      <c r="FA102" s="360"/>
      <c r="FB102" s="360"/>
      <c r="FC102" s="360"/>
      <c r="FD102" s="360"/>
      <c r="FE102" s="360"/>
      <c r="FF102" s="360"/>
      <c r="FG102" s="360"/>
      <c r="FH102" s="352"/>
      <c r="FI102" s="352"/>
      <c r="FJ102" s="352"/>
      <c r="FK102" s="352"/>
      <c r="FL102" s="352"/>
      <c r="FM102" s="352"/>
      <c r="FN102" s="352"/>
      <c r="FO102" s="345"/>
      <c r="FP102" s="345"/>
      <c r="FQ102" s="345"/>
      <c r="FR102" s="345"/>
      <c r="FS102" s="345"/>
    </row>
    <row r="103" spans="1:175" s="112" customFormat="1" ht="16.5" hidden="1" customHeight="1" x14ac:dyDescent="0.25">
      <c r="A103" s="1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2"/>
      <c r="X103" s="12"/>
      <c r="Y103" s="12"/>
      <c r="Z103" s="12"/>
      <c r="AA103" s="105"/>
      <c r="AB103" s="100"/>
      <c r="AC103" s="100"/>
      <c r="AD103" s="100"/>
      <c r="AE103" s="100"/>
      <c r="AF103" s="100"/>
      <c r="AG103" s="100"/>
      <c r="AH103" s="100"/>
      <c r="AI103" s="100"/>
      <c r="AJ103" s="100"/>
      <c r="AK103" s="100"/>
      <c r="AL103" s="100"/>
      <c r="AM103" s="100"/>
      <c r="AN103" s="100"/>
      <c r="AO103" s="100"/>
      <c r="AP103" s="100"/>
      <c r="AQ103" s="100"/>
      <c r="AR103" s="100"/>
      <c r="AS103" s="100"/>
      <c r="AT103" s="100"/>
      <c r="AU103" s="100"/>
      <c r="AV103" s="100"/>
      <c r="AW103" s="109"/>
      <c r="AX103" s="100"/>
      <c r="AY103" s="130"/>
      <c r="AZ103" s="346"/>
      <c r="BA103" s="343"/>
      <c r="BB103" s="389"/>
      <c r="BC103" s="395"/>
      <c r="BD103" s="395"/>
      <c r="BE103" s="395"/>
      <c r="BF103" s="395"/>
      <c r="BG103" s="395"/>
      <c r="BH103" s="395"/>
      <c r="BI103" s="343"/>
      <c r="BJ103" s="357"/>
      <c r="BK103" s="357"/>
      <c r="BL103" s="357"/>
      <c r="BM103" s="357"/>
      <c r="BN103" s="357"/>
      <c r="BO103" s="357"/>
      <c r="BP103" s="357"/>
      <c r="BQ103" s="359"/>
      <c r="BR103" s="359"/>
      <c r="BS103" s="359"/>
      <c r="BT103" s="359"/>
      <c r="BU103" s="359"/>
      <c r="BV103" s="359"/>
      <c r="BW103" s="359"/>
      <c r="BX103" s="359"/>
      <c r="BY103" s="359"/>
      <c r="BZ103" s="359"/>
      <c r="CA103" s="359"/>
      <c r="CB103" s="359"/>
      <c r="CC103" s="359"/>
      <c r="CD103" s="359"/>
      <c r="CE103" s="359"/>
      <c r="CF103" s="359"/>
      <c r="CG103" s="359"/>
      <c r="CH103" s="359"/>
      <c r="CI103" s="359"/>
      <c r="CJ103" s="359"/>
      <c r="CK103" s="359"/>
      <c r="CL103" s="359"/>
      <c r="CM103" s="359"/>
      <c r="CN103" s="359"/>
      <c r="CO103" s="359"/>
      <c r="CP103" s="359"/>
      <c r="CQ103" s="359"/>
      <c r="CR103" s="359"/>
      <c r="CS103" s="359"/>
      <c r="CT103" s="359"/>
      <c r="CU103" s="359"/>
      <c r="CV103" s="359"/>
      <c r="CW103" s="359"/>
      <c r="CX103" s="359"/>
      <c r="CY103" s="359"/>
      <c r="CZ103" s="359"/>
      <c r="DA103" s="359"/>
      <c r="DB103" s="359"/>
      <c r="DC103" s="359"/>
      <c r="DD103" s="359"/>
      <c r="DE103" s="359"/>
      <c r="DF103" s="359"/>
      <c r="DG103" s="359"/>
      <c r="DH103" s="359"/>
      <c r="DI103" s="359"/>
      <c r="DJ103" s="359"/>
      <c r="DK103" s="359"/>
      <c r="DL103" s="359"/>
      <c r="DM103" s="359"/>
      <c r="DN103" s="408"/>
      <c r="DO103" s="408"/>
      <c r="DP103" s="408"/>
      <c r="DQ103" s="408"/>
      <c r="DR103" s="408"/>
      <c r="DS103" s="408"/>
      <c r="DT103" s="408"/>
      <c r="DU103" s="408"/>
      <c r="DV103" s="408"/>
      <c r="DW103" s="408"/>
      <c r="DX103" s="408"/>
      <c r="DY103" s="408"/>
      <c r="DZ103" s="408"/>
      <c r="EA103" s="359"/>
      <c r="EB103" s="359"/>
      <c r="EC103" s="359"/>
      <c r="ED103" s="359"/>
      <c r="EE103" s="359"/>
      <c r="EF103" s="359"/>
      <c r="EG103" s="359"/>
      <c r="EH103" s="359"/>
      <c r="EI103" s="359"/>
      <c r="EJ103" s="359"/>
      <c r="EK103" s="359"/>
      <c r="EL103" s="359"/>
      <c r="EM103" s="359"/>
      <c r="EN103" s="359"/>
      <c r="EO103" s="359"/>
      <c r="EP103" s="360"/>
      <c r="EQ103" s="360"/>
      <c r="ER103" s="360"/>
      <c r="ES103" s="360"/>
      <c r="ET103" s="360"/>
      <c r="EU103" s="360"/>
      <c r="EV103" s="360"/>
      <c r="EW103" s="360"/>
      <c r="EX103" s="360"/>
      <c r="EY103" s="360"/>
      <c r="EZ103" s="360"/>
      <c r="FA103" s="360"/>
      <c r="FB103" s="360"/>
      <c r="FC103" s="360"/>
      <c r="FD103" s="360"/>
      <c r="FE103" s="360"/>
      <c r="FF103" s="360"/>
      <c r="FG103" s="360"/>
      <c r="FH103" s="352"/>
      <c r="FI103" s="352"/>
      <c r="FJ103" s="352"/>
      <c r="FK103" s="352"/>
      <c r="FL103" s="352"/>
      <c r="FM103" s="352"/>
      <c r="FN103" s="352"/>
      <c r="FO103" s="345"/>
      <c r="FP103" s="345"/>
      <c r="FQ103" s="345"/>
      <c r="FR103" s="345"/>
      <c r="FS103" s="345"/>
    </row>
    <row r="104" spans="1:175" s="112" customFormat="1" ht="16.5" hidden="1" customHeight="1" x14ac:dyDescent="0.25">
      <c r="A104" s="10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2"/>
      <c r="X104" s="12"/>
      <c r="Y104" s="12"/>
      <c r="Z104" s="12"/>
      <c r="AA104" s="105"/>
      <c r="AB104" s="100"/>
      <c r="AC104" s="100"/>
      <c r="AD104" s="100"/>
      <c r="AE104" s="100"/>
      <c r="AF104" s="100"/>
      <c r="AG104" s="100"/>
      <c r="AH104" s="100"/>
      <c r="AI104" s="100"/>
      <c r="AJ104" s="100"/>
      <c r="AK104" s="100"/>
      <c r="AL104" s="100"/>
      <c r="AM104" s="100"/>
      <c r="AN104" s="100"/>
      <c r="AO104" s="100"/>
      <c r="AP104" s="100"/>
      <c r="AQ104" s="100"/>
      <c r="AR104" s="100"/>
      <c r="AS104" s="100"/>
      <c r="AT104" s="100"/>
      <c r="AU104" s="100"/>
      <c r="AV104" s="100"/>
      <c r="AW104" s="109"/>
      <c r="AX104" s="100"/>
      <c r="AY104" s="130"/>
      <c r="AZ104" s="346"/>
      <c r="BA104" s="343"/>
      <c r="BB104" s="389"/>
      <c r="BC104" s="395"/>
      <c r="BD104" s="395"/>
      <c r="BE104" s="395"/>
      <c r="BF104" s="395"/>
      <c r="BG104" s="395"/>
      <c r="BH104" s="395"/>
      <c r="BI104" s="343"/>
      <c r="BJ104" s="357"/>
      <c r="BK104" s="357"/>
      <c r="BL104" s="357"/>
      <c r="BM104" s="357"/>
      <c r="BN104" s="357"/>
      <c r="BO104" s="357"/>
      <c r="BP104" s="357"/>
      <c r="BQ104" s="359"/>
      <c r="BR104" s="359"/>
      <c r="BS104" s="359"/>
      <c r="BT104" s="359"/>
      <c r="BU104" s="359"/>
      <c r="BV104" s="359"/>
      <c r="BW104" s="359"/>
      <c r="BX104" s="359"/>
      <c r="BY104" s="359"/>
      <c r="BZ104" s="359"/>
      <c r="CA104" s="359"/>
      <c r="CB104" s="359"/>
      <c r="CC104" s="359"/>
      <c r="CD104" s="359"/>
      <c r="CE104" s="359"/>
      <c r="CF104" s="359"/>
      <c r="CG104" s="359"/>
      <c r="CH104" s="359"/>
      <c r="CI104" s="359"/>
      <c r="CJ104" s="359"/>
      <c r="CK104" s="359"/>
      <c r="CL104" s="359"/>
      <c r="CM104" s="359"/>
      <c r="CN104" s="359"/>
      <c r="CO104" s="359"/>
      <c r="CP104" s="359"/>
      <c r="CQ104" s="359"/>
      <c r="CR104" s="359"/>
      <c r="CS104" s="359"/>
      <c r="CT104" s="359"/>
      <c r="CU104" s="359"/>
      <c r="CV104" s="359"/>
      <c r="CW104" s="359"/>
      <c r="CX104" s="359"/>
      <c r="CY104" s="359"/>
      <c r="CZ104" s="359"/>
      <c r="DA104" s="359"/>
      <c r="DB104" s="359"/>
      <c r="DC104" s="359"/>
      <c r="DD104" s="359"/>
      <c r="DE104" s="359"/>
      <c r="DF104" s="359"/>
      <c r="DG104" s="359"/>
      <c r="DH104" s="359"/>
      <c r="DI104" s="359"/>
      <c r="DJ104" s="359"/>
      <c r="DK104" s="359"/>
      <c r="DL104" s="359"/>
      <c r="DM104" s="359"/>
      <c r="DN104" s="408"/>
      <c r="DO104" s="408"/>
      <c r="DP104" s="408"/>
      <c r="DQ104" s="408"/>
      <c r="DR104" s="408"/>
      <c r="DS104" s="408"/>
      <c r="DT104" s="408"/>
      <c r="DU104" s="408"/>
      <c r="DV104" s="408"/>
      <c r="DW104" s="408"/>
      <c r="DX104" s="408"/>
      <c r="DY104" s="408"/>
      <c r="DZ104" s="408"/>
      <c r="EA104" s="359"/>
      <c r="EB104" s="359"/>
      <c r="EC104" s="359"/>
      <c r="ED104" s="359"/>
      <c r="EE104" s="359"/>
      <c r="EF104" s="359"/>
      <c r="EG104" s="359"/>
      <c r="EH104" s="359"/>
      <c r="EI104" s="359"/>
      <c r="EJ104" s="359"/>
      <c r="EK104" s="359"/>
      <c r="EL104" s="359"/>
      <c r="EM104" s="359"/>
      <c r="EN104" s="359"/>
      <c r="EO104" s="359"/>
      <c r="EP104" s="360"/>
      <c r="EQ104" s="360"/>
      <c r="ER104" s="360"/>
      <c r="ES104" s="360"/>
      <c r="ET104" s="360"/>
      <c r="EU104" s="360"/>
      <c r="EV104" s="360"/>
      <c r="EW104" s="360"/>
      <c r="EX104" s="360"/>
      <c r="EY104" s="360"/>
      <c r="EZ104" s="360"/>
      <c r="FA104" s="360"/>
      <c r="FB104" s="360"/>
      <c r="FC104" s="360"/>
      <c r="FD104" s="360"/>
      <c r="FE104" s="360"/>
      <c r="FF104" s="360"/>
      <c r="FG104" s="360"/>
      <c r="FH104" s="352"/>
      <c r="FI104" s="352"/>
      <c r="FJ104" s="352"/>
      <c r="FK104" s="352"/>
      <c r="FL104" s="352"/>
      <c r="FM104" s="352"/>
      <c r="FN104" s="352"/>
      <c r="FO104" s="345"/>
      <c r="FP104" s="345"/>
      <c r="FQ104" s="345"/>
      <c r="FR104" s="345"/>
      <c r="FS104" s="345"/>
    </row>
    <row r="105" spans="1:175" s="112" customFormat="1" ht="16.5" hidden="1" customHeight="1" x14ac:dyDescent="0.25">
      <c r="A105" s="10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2"/>
      <c r="X105" s="12"/>
      <c r="Y105" s="12"/>
      <c r="Z105" s="12"/>
      <c r="AA105" s="105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9"/>
      <c r="AX105" s="100"/>
      <c r="AY105" s="130"/>
      <c r="AZ105" s="346"/>
      <c r="BA105" s="343"/>
      <c r="BB105" s="389"/>
      <c r="BC105" s="395"/>
      <c r="BD105" s="395"/>
      <c r="BE105" s="395"/>
      <c r="BF105" s="395"/>
      <c r="BG105" s="395"/>
      <c r="BH105" s="395"/>
      <c r="BI105" s="343"/>
      <c r="BJ105" s="357"/>
      <c r="BK105" s="357"/>
      <c r="BL105" s="357"/>
      <c r="BM105" s="357"/>
      <c r="BN105" s="357"/>
      <c r="BO105" s="357"/>
      <c r="BP105" s="357"/>
      <c r="BQ105" s="359"/>
      <c r="BR105" s="359"/>
      <c r="BS105" s="359"/>
      <c r="BT105" s="359"/>
      <c r="BU105" s="359"/>
      <c r="BV105" s="359"/>
      <c r="BW105" s="359"/>
      <c r="BX105" s="359"/>
      <c r="BY105" s="359"/>
      <c r="BZ105" s="359"/>
      <c r="CA105" s="359"/>
      <c r="CB105" s="359"/>
      <c r="CC105" s="359"/>
      <c r="CD105" s="359"/>
      <c r="CE105" s="359"/>
      <c r="CF105" s="359"/>
      <c r="CG105" s="359"/>
      <c r="CH105" s="359"/>
      <c r="CI105" s="359"/>
      <c r="CJ105" s="359"/>
      <c r="CK105" s="359"/>
      <c r="CL105" s="359"/>
      <c r="CM105" s="359"/>
      <c r="CN105" s="359"/>
      <c r="CO105" s="359"/>
      <c r="CP105" s="359"/>
      <c r="CQ105" s="359"/>
      <c r="CR105" s="359"/>
      <c r="CS105" s="359"/>
      <c r="CT105" s="359"/>
      <c r="CU105" s="359"/>
      <c r="CV105" s="359"/>
      <c r="CW105" s="359"/>
      <c r="CX105" s="359"/>
      <c r="CY105" s="359"/>
      <c r="CZ105" s="359"/>
      <c r="DA105" s="359"/>
      <c r="DB105" s="359"/>
      <c r="DC105" s="359"/>
      <c r="DD105" s="359"/>
      <c r="DE105" s="359"/>
      <c r="DF105" s="359"/>
      <c r="DG105" s="359"/>
      <c r="DH105" s="359"/>
      <c r="DI105" s="359"/>
      <c r="DJ105" s="359"/>
      <c r="DK105" s="359"/>
      <c r="DL105" s="359"/>
      <c r="DM105" s="359"/>
      <c r="DN105" s="408"/>
      <c r="DO105" s="408"/>
      <c r="DP105" s="408"/>
      <c r="DQ105" s="408"/>
      <c r="DR105" s="408"/>
      <c r="DS105" s="408"/>
      <c r="DT105" s="408"/>
      <c r="DU105" s="408"/>
      <c r="DV105" s="408"/>
      <c r="DW105" s="408"/>
      <c r="DX105" s="408"/>
      <c r="DY105" s="408"/>
      <c r="DZ105" s="408"/>
      <c r="EA105" s="359"/>
      <c r="EB105" s="359"/>
      <c r="EC105" s="359"/>
      <c r="ED105" s="359"/>
      <c r="EE105" s="359"/>
      <c r="EF105" s="359"/>
      <c r="EG105" s="359"/>
      <c r="EH105" s="359"/>
      <c r="EI105" s="359"/>
      <c r="EJ105" s="359"/>
      <c r="EK105" s="359"/>
      <c r="EL105" s="359"/>
      <c r="EM105" s="359"/>
      <c r="EN105" s="359"/>
      <c r="EO105" s="359"/>
      <c r="EP105" s="360"/>
      <c r="EQ105" s="360"/>
      <c r="ER105" s="360"/>
      <c r="ES105" s="360"/>
      <c r="ET105" s="360"/>
      <c r="EU105" s="360"/>
      <c r="EV105" s="360"/>
      <c r="EW105" s="360"/>
      <c r="EX105" s="360"/>
      <c r="EY105" s="360"/>
      <c r="EZ105" s="360"/>
      <c r="FA105" s="360"/>
      <c r="FB105" s="360"/>
      <c r="FC105" s="360"/>
      <c r="FD105" s="360"/>
      <c r="FE105" s="360"/>
      <c r="FF105" s="360"/>
      <c r="FG105" s="360"/>
      <c r="FH105" s="352"/>
      <c r="FI105" s="352"/>
      <c r="FJ105" s="352"/>
      <c r="FK105" s="352"/>
      <c r="FL105" s="352"/>
      <c r="FM105" s="352"/>
      <c r="FN105" s="352"/>
      <c r="FO105" s="345"/>
      <c r="FP105" s="345"/>
      <c r="FQ105" s="345"/>
      <c r="FR105" s="345"/>
      <c r="FS105" s="345"/>
    </row>
    <row r="106" spans="1:175" s="112" customFormat="1" ht="16.5" hidden="1" customHeight="1" x14ac:dyDescent="0.25">
      <c r="A106" s="10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2"/>
      <c r="X106" s="12"/>
      <c r="Y106" s="12"/>
      <c r="Z106" s="12"/>
      <c r="AA106" s="105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N106" s="100"/>
      <c r="AO106" s="100"/>
      <c r="AP106" s="100"/>
      <c r="AQ106" s="100"/>
      <c r="AR106" s="100"/>
      <c r="AS106" s="100"/>
      <c r="AT106" s="100"/>
      <c r="AU106" s="100"/>
      <c r="AV106" s="100"/>
      <c r="AW106" s="109"/>
      <c r="AX106" s="100"/>
      <c r="AY106" s="130"/>
      <c r="AZ106" s="346"/>
      <c r="BA106" s="343"/>
      <c r="BB106" s="389"/>
      <c r="BC106" s="395"/>
      <c r="BD106" s="395"/>
      <c r="BE106" s="395"/>
      <c r="BF106" s="395"/>
      <c r="BG106" s="395"/>
      <c r="BH106" s="395"/>
      <c r="BI106" s="343"/>
      <c r="BJ106" s="357"/>
      <c r="BK106" s="357"/>
      <c r="BL106" s="357"/>
      <c r="BM106" s="357"/>
      <c r="BN106" s="357"/>
      <c r="BO106" s="357"/>
      <c r="BP106" s="357"/>
      <c r="BQ106" s="359"/>
      <c r="BR106" s="359"/>
      <c r="BS106" s="359"/>
      <c r="BT106" s="359"/>
      <c r="BU106" s="359"/>
      <c r="BV106" s="359"/>
      <c r="BW106" s="359"/>
      <c r="BX106" s="359"/>
      <c r="BY106" s="359"/>
      <c r="BZ106" s="359"/>
      <c r="CA106" s="359"/>
      <c r="CB106" s="359"/>
      <c r="CC106" s="359"/>
      <c r="CD106" s="359"/>
      <c r="CE106" s="359"/>
      <c r="CF106" s="359"/>
      <c r="CG106" s="359"/>
      <c r="CH106" s="359"/>
      <c r="CI106" s="359"/>
      <c r="CJ106" s="359"/>
      <c r="CK106" s="359"/>
      <c r="CL106" s="359"/>
      <c r="CM106" s="359"/>
      <c r="CN106" s="359"/>
      <c r="CO106" s="359"/>
      <c r="CP106" s="359"/>
      <c r="CQ106" s="359"/>
      <c r="CR106" s="359"/>
      <c r="CS106" s="359"/>
      <c r="CT106" s="359"/>
      <c r="CU106" s="359"/>
      <c r="CV106" s="359"/>
      <c r="CW106" s="359"/>
      <c r="CX106" s="359"/>
      <c r="CY106" s="359"/>
      <c r="CZ106" s="359"/>
      <c r="DA106" s="359"/>
      <c r="DB106" s="359"/>
      <c r="DC106" s="359"/>
      <c r="DD106" s="359"/>
      <c r="DE106" s="359"/>
      <c r="DF106" s="359"/>
      <c r="DG106" s="359"/>
      <c r="DH106" s="359"/>
      <c r="DI106" s="359"/>
      <c r="DJ106" s="359"/>
      <c r="DK106" s="359"/>
      <c r="DL106" s="359"/>
      <c r="DM106" s="359"/>
      <c r="DN106" s="408"/>
      <c r="DO106" s="408"/>
      <c r="DP106" s="408"/>
      <c r="DQ106" s="408"/>
      <c r="DR106" s="408"/>
      <c r="DS106" s="408"/>
      <c r="DT106" s="408"/>
      <c r="DU106" s="408"/>
      <c r="DV106" s="408"/>
      <c r="DW106" s="408"/>
      <c r="DX106" s="408"/>
      <c r="DY106" s="408"/>
      <c r="DZ106" s="408"/>
      <c r="EA106" s="359"/>
      <c r="EB106" s="359"/>
      <c r="EC106" s="359"/>
      <c r="ED106" s="359"/>
      <c r="EE106" s="359"/>
      <c r="EF106" s="359"/>
      <c r="EG106" s="359"/>
      <c r="EH106" s="359"/>
      <c r="EI106" s="359"/>
      <c r="EJ106" s="359"/>
      <c r="EK106" s="359"/>
      <c r="EL106" s="359"/>
      <c r="EM106" s="359"/>
      <c r="EN106" s="359"/>
      <c r="EO106" s="359"/>
      <c r="EP106" s="360"/>
      <c r="EQ106" s="360"/>
      <c r="ER106" s="360"/>
      <c r="ES106" s="360"/>
      <c r="ET106" s="360"/>
      <c r="EU106" s="360"/>
      <c r="EV106" s="360"/>
      <c r="EW106" s="360"/>
      <c r="EX106" s="360"/>
      <c r="EY106" s="360"/>
      <c r="EZ106" s="360"/>
      <c r="FA106" s="360"/>
      <c r="FB106" s="360"/>
      <c r="FC106" s="360"/>
      <c r="FD106" s="360"/>
      <c r="FE106" s="360"/>
      <c r="FF106" s="360"/>
      <c r="FG106" s="360"/>
      <c r="FH106" s="352"/>
      <c r="FI106" s="352"/>
      <c r="FJ106" s="352"/>
      <c r="FK106" s="352"/>
      <c r="FL106" s="352"/>
      <c r="FM106" s="352"/>
      <c r="FN106" s="352"/>
      <c r="FO106" s="345"/>
      <c r="FP106" s="345"/>
      <c r="FQ106" s="345"/>
      <c r="FR106" s="345"/>
      <c r="FS106" s="345"/>
    </row>
    <row r="107" spans="1:175" s="112" customFormat="1" ht="16.5" hidden="1" customHeight="1" x14ac:dyDescent="0.25">
      <c r="A107" s="10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2"/>
      <c r="X107" s="12"/>
      <c r="Y107" s="12"/>
      <c r="Z107" s="12"/>
      <c r="AA107" s="105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0"/>
      <c r="AO107" s="100"/>
      <c r="AP107" s="100"/>
      <c r="AQ107" s="100"/>
      <c r="AR107" s="100"/>
      <c r="AS107" s="100"/>
      <c r="AT107" s="100"/>
      <c r="AU107" s="100"/>
      <c r="AV107" s="100"/>
      <c r="AW107" s="109"/>
      <c r="AX107" s="100"/>
      <c r="AY107" s="130"/>
      <c r="AZ107" s="346"/>
      <c r="BA107" s="343"/>
      <c r="BB107" s="389"/>
      <c r="BC107" s="395"/>
      <c r="BD107" s="395"/>
      <c r="BE107" s="395"/>
      <c r="BF107" s="395"/>
      <c r="BG107" s="395"/>
      <c r="BH107" s="395"/>
      <c r="BI107" s="343"/>
      <c r="BJ107" s="357"/>
      <c r="BK107" s="357"/>
      <c r="BL107" s="357"/>
      <c r="BM107" s="357"/>
      <c r="BN107" s="357"/>
      <c r="BO107" s="357"/>
      <c r="BP107" s="357"/>
      <c r="BQ107" s="359"/>
      <c r="BR107" s="359"/>
      <c r="BS107" s="359"/>
      <c r="BT107" s="359"/>
      <c r="BU107" s="359"/>
      <c r="BV107" s="359"/>
      <c r="BW107" s="359"/>
      <c r="BX107" s="359"/>
      <c r="BY107" s="359"/>
      <c r="BZ107" s="359"/>
      <c r="CA107" s="359"/>
      <c r="CB107" s="359"/>
      <c r="CC107" s="359"/>
      <c r="CD107" s="359"/>
      <c r="CE107" s="359"/>
      <c r="CF107" s="359"/>
      <c r="CG107" s="359"/>
      <c r="CH107" s="359"/>
      <c r="CI107" s="359"/>
      <c r="CJ107" s="359"/>
      <c r="CK107" s="359"/>
      <c r="CL107" s="359"/>
      <c r="CM107" s="359"/>
      <c r="CN107" s="359"/>
      <c r="CO107" s="359"/>
      <c r="CP107" s="359"/>
      <c r="CQ107" s="359"/>
      <c r="CR107" s="359"/>
      <c r="CS107" s="359"/>
      <c r="CT107" s="359"/>
      <c r="CU107" s="359"/>
      <c r="CV107" s="359"/>
      <c r="CW107" s="359"/>
      <c r="CX107" s="359"/>
      <c r="CY107" s="359"/>
      <c r="CZ107" s="359"/>
      <c r="DA107" s="359"/>
      <c r="DB107" s="359"/>
      <c r="DC107" s="359"/>
      <c r="DD107" s="359"/>
      <c r="DE107" s="359"/>
      <c r="DF107" s="359"/>
      <c r="DG107" s="359"/>
      <c r="DH107" s="359"/>
      <c r="DI107" s="359"/>
      <c r="DJ107" s="359"/>
      <c r="DK107" s="359"/>
      <c r="DL107" s="359"/>
      <c r="DM107" s="359"/>
      <c r="DN107" s="408"/>
      <c r="DO107" s="408"/>
      <c r="DP107" s="408"/>
      <c r="DQ107" s="408"/>
      <c r="DR107" s="408"/>
      <c r="DS107" s="408"/>
      <c r="DT107" s="408"/>
      <c r="DU107" s="408"/>
      <c r="DV107" s="408"/>
      <c r="DW107" s="408"/>
      <c r="DX107" s="408"/>
      <c r="DY107" s="408"/>
      <c r="DZ107" s="408"/>
      <c r="EA107" s="359"/>
      <c r="EB107" s="359"/>
      <c r="EC107" s="359"/>
      <c r="ED107" s="359"/>
      <c r="EE107" s="359"/>
      <c r="EF107" s="359"/>
      <c r="EG107" s="359"/>
      <c r="EH107" s="359"/>
      <c r="EI107" s="359"/>
      <c r="EJ107" s="359"/>
      <c r="EK107" s="359"/>
      <c r="EL107" s="359"/>
      <c r="EM107" s="359"/>
      <c r="EN107" s="359"/>
      <c r="EO107" s="359"/>
      <c r="EP107" s="360"/>
      <c r="EQ107" s="360"/>
      <c r="ER107" s="360"/>
      <c r="ES107" s="360"/>
      <c r="ET107" s="360"/>
      <c r="EU107" s="360"/>
      <c r="EV107" s="360"/>
      <c r="EW107" s="360"/>
      <c r="EX107" s="360"/>
      <c r="EY107" s="360"/>
      <c r="EZ107" s="360"/>
      <c r="FA107" s="360"/>
      <c r="FB107" s="360"/>
      <c r="FC107" s="360"/>
      <c r="FD107" s="360"/>
      <c r="FE107" s="360"/>
      <c r="FF107" s="360"/>
      <c r="FG107" s="360"/>
      <c r="FH107" s="352"/>
      <c r="FI107" s="352"/>
      <c r="FJ107" s="352"/>
      <c r="FK107" s="352"/>
      <c r="FL107" s="352"/>
      <c r="FM107" s="352"/>
      <c r="FN107" s="352"/>
      <c r="FO107" s="345"/>
      <c r="FP107" s="345"/>
      <c r="FQ107" s="345"/>
      <c r="FR107" s="345"/>
      <c r="FS107" s="345"/>
    </row>
    <row r="108" spans="1:175" s="112" customFormat="1" ht="16.5" hidden="1" customHeight="1" x14ac:dyDescent="0.25">
      <c r="A108" s="10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2"/>
      <c r="X108" s="12"/>
      <c r="Y108" s="12"/>
      <c r="Z108" s="12"/>
      <c r="AA108" s="105"/>
      <c r="AB108" s="100"/>
      <c r="AC108" s="100"/>
      <c r="AD108" s="100"/>
      <c r="AE108" s="100"/>
      <c r="AF108" s="100"/>
      <c r="AG108" s="100"/>
      <c r="AH108" s="100"/>
      <c r="AI108" s="100"/>
      <c r="AJ108" s="100"/>
      <c r="AK108" s="100"/>
      <c r="AL108" s="100"/>
      <c r="AM108" s="100"/>
      <c r="AN108" s="100"/>
      <c r="AO108" s="100"/>
      <c r="AP108" s="100"/>
      <c r="AQ108" s="100"/>
      <c r="AR108" s="100"/>
      <c r="AS108" s="100"/>
      <c r="AT108" s="100"/>
      <c r="AU108" s="100"/>
      <c r="AV108" s="100"/>
      <c r="AW108" s="109"/>
      <c r="AX108" s="100"/>
      <c r="AY108" s="130"/>
      <c r="AZ108" s="346"/>
      <c r="BA108" s="343"/>
      <c r="BB108" s="389"/>
      <c r="BC108" s="395"/>
      <c r="BD108" s="395"/>
      <c r="BE108" s="395"/>
      <c r="BF108" s="395"/>
      <c r="BG108" s="395"/>
      <c r="BH108" s="395"/>
      <c r="BI108" s="343"/>
      <c r="BJ108" s="357"/>
      <c r="BK108" s="357"/>
      <c r="BL108" s="357"/>
      <c r="BM108" s="357"/>
      <c r="BN108" s="357"/>
      <c r="BO108" s="357"/>
      <c r="BP108" s="357"/>
      <c r="BQ108" s="359"/>
      <c r="BR108" s="359"/>
      <c r="BS108" s="359"/>
      <c r="BT108" s="359"/>
      <c r="BU108" s="359"/>
      <c r="BV108" s="359"/>
      <c r="BW108" s="359"/>
      <c r="BX108" s="359"/>
      <c r="BY108" s="359"/>
      <c r="BZ108" s="359"/>
      <c r="CA108" s="359"/>
      <c r="CB108" s="359"/>
      <c r="CC108" s="359"/>
      <c r="CD108" s="359"/>
      <c r="CE108" s="359"/>
      <c r="CF108" s="359"/>
      <c r="CG108" s="359"/>
      <c r="CH108" s="359"/>
      <c r="CI108" s="359"/>
      <c r="CJ108" s="359"/>
      <c r="CK108" s="359"/>
      <c r="CL108" s="359"/>
      <c r="CM108" s="359"/>
      <c r="CN108" s="359"/>
      <c r="CO108" s="359"/>
      <c r="CP108" s="359"/>
      <c r="CQ108" s="359"/>
      <c r="CR108" s="359"/>
      <c r="CS108" s="359"/>
      <c r="CT108" s="359"/>
      <c r="CU108" s="359"/>
      <c r="CV108" s="359"/>
      <c r="CW108" s="359"/>
      <c r="CX108" s="359"/>
      <c r="CY108" s="359"/>
      <c r="CZ108" s="359"/>
      <c r="DA108" s="359"/>
      <c r="DB108" s="359"/>
      <c r="DC108" s="359"/>
      <c r="DD108" s="359"/>
      <c r="DE108" s="359"/>
      <c r="DF108" s="359"/>
      <c r="DG108" s="359"/>
      <c r="DH108" s="359"/>
      <c r="DI108" s="359"/>
      <c r="DJ108" s="359"/>
      <c r="DK108" s="359"/>
      <c r="DL108" s="359"/>
      <c r="DM108" s="359"/>
      <c r="DN108" s="408"/>
      <c r="DO108" s="408"/>
      <c r="DP108" s="408"/>
      <c r="DQ108" s="408"/>
      <c r="DR108" s="408"/>
      <c r="DS108" s="408"/>
      <c r="DT108" s="408"/>
      <c r="DU108" s="408"/>
      <c r="DV108" s="408"/>
      <c r="DW108" s="408"/>
      <c r="DX108" s="408"/>
      <c r="DY108" s="408"/>
      <c r="DZ108" s="408"/>
      <c r="EA108" s="359"/>
      <c r="EB108" s="359"/>
      <c r="EC108" s="359"/>
      <c r="ED108" s="359"/>
      <c r="EE108" s="359"/>
      <c r="EF108" s="359"/>
      <c r="EG108" s="359"/>
      <c r="EH108" s="359"/>
      <c r="EI108" s="359"/>
      <c r="EJ108" s="359"/>
      <c r="EK108" s="359"/>
      <c r="EL108" s="359"/>
      <c r="EM108" s="359"/>
      <c r="EN108" s="359"/>
      <c r="EO108" s="359"/>
      <c r="EP108" s="360"/>
      <c r="EQ108" s="360"/>
      <c r="ER108" s="360"/>
      <c r="ES108" s="360"/>
      <c r="ET108" s="360"/>
      <c r="EU108" s="360"/>
      <c r="EV108" s="360"/>
      <c r="EW108" s="360"/>
      <c r="EX108" s="360"/>
      <c r="EY108" s="360"/>
      <c r="EZ108" s="360"/>
      <c r="FA108" s="360"/>
      <c r="FB108" s="360"/>
      <c r="FC108" s="360"/>
      <c r="FD108" s="360"/>
      <c r="FE108" s="360"/>
      <c r="FF108" s="360"/>
      <c r="FG108" s="360"/>
      <c r="FH108" s="352"/>
      <c r="FI108" s="352"/>
      <c r="FJ108" s="352"/>
      <c r="FK108" s="352"/>
      <c r="FL108" s="352"/>
      <c r="FM108" s="352"/>
      <c r="FN108" s="352"/>
      <c r="FO108" s="345"/>
      <c r="FP108" s="345"/>
      <c r="FQ108" s="345"/>
      <c r="FR108" s="345"/>
      <c r="FS108" s="345"/>
    </row>
    <row r="109" spans="1:175" s="112" customFormat="1" ht="16.5" hidden="1" customHeight="1" x14ac:dyDescent="0.25">
      <c r="A109" s="10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2"/>
      <c r="X109" s="12"/>
      <c r="Y109" s="12"/>
      <c r="Z109" s="12"/>
      <c r="AA109" s="105"/>
      <c r="AB109" s="100"/>
      <c r="AC109" s="100"/>
      <c r="AD109" s="100"/>
      <c r="AE109" s="100"/>
      <c r="AF109" s="100"/>
      <c r="AG109" s="100"/>
      <c r="AH109" s="100"/>
      <c r="AI109" s="100"/>
      <c r="AJ109" s="100"/>
      <c r="AK109" s="100"/>
      <c r="AL109" s="100"/>
      <c r="AM109" s="100"/>
      <c r="AN109" s="100"/>
      <c r="AO109" s="100"/>
      <c r="AP109" s="100"/>
      <c r="AQ109" s="100"/>
      <c r="AR109" s="100"/>
      <c r="AS109" s="100"/>
      <c r="AT109" s="100"/>
      <c r="AU109" s="100"/>
      <c r="AV109" s="100"/>
      <c r="AW109" s="109"/>
      <c r="AX109" s="100"/>
      <c r="AY109" s="130"/>
      <c r="AZ109" s="346"/>
      <c r="BA109" s="343"/>
      <c r="BB109" s="389"/>
      <c r="BC109" s="395"/>
      <c r="BD109" s="395"/>
      <c r="BE109" s="395"/>
      <c r="BF109" s="395"/>
      <c r="BG109" s="395"/>
      <c r="BH109" s="395"/>
      <c r="BI109" s="343"/>
      <c r="BJ109" s="357"/>
      <c r="BK109" s="357"/>
      <c r="BL109" s="357"/>
      <c r="BM109" s="357"/>
      <c r="BN109" s="357"/>
      <c r="BO109" s="357"/>
      <c r="BP109" s="357"/>
      <c r="BQ109" s="359"/>
      <c r="BR109" s="359"/>
      <c r="BS109" s="359"/>
      <c r="BT109" s="359"/>
      <c r="BU109" s="359"/>
      <c r="BV109" s="359"/>
      <c r="BW109" s="359"/>
      <c r="BX109" s="359"/>
      <c r="BY109" s="359"/>
      <c r="BZ109" s="359"/>
      <c r="CA109" s="359"/>
      <c r="CB109" s="359"/>
      <c r="CC109" s="359"/>
      <c r="CD109" s="359"/>
      <c r="CE109" s="359"/>
      <c r="CF109" s="359"/>
      <c r="CG109" s="359"/>
      <c r="CH109" s="359"/>
      <c r="CI109" s="359"/>
      <c r="CJ109" s="359"/>
      <c r="CK109" s="359"/>
      <c r="CL109" s="359"/>
      <c r="CM109" s="359"/>
      <c r="CN109" s="359"/>
      <c r="CO109" s="359"/>
      <c r="CP109" s="359"/>
      <c r="CQ109" s="359"/>
      <c r="CR109" s="359"/>
      <c r="CS109" s="359"/>
      <c r="CT109" s="359"/>
      <c r="CU109" s="359"/>
      <c r="CV109" s="359"/>
      <c r="CW109" s="359"/>
      <c r="CX109" s="359"/>
      <c r="CY109" s="359"/>
      <c r="CZ109" s="359"/>
      <c r="DA109" s="359"/>
      <c r="DB109" s="359"/>
      <c r="DC109" s="359"/>
      <c r="DD109" s="359"/>
      <c r="DE109" s="359"/>
      <c r="DF109" s="359"/>
      <c r="DG109" s="359"/>
      <c r="DH109" s="359"/>
      <c r="DI109" s="359"/>
      <c r="DJ109" s="359"/>
      <c r="DK109" s="359"/>
      <c r="DL109" s="359"/>
      <c r="DM109" s="359"/>
      <c r="DN109" s="408"/>
      <c r="DO109" s="408"/>
      <c r="DP109" s="408"/>
      <c r="DQ109" s="408"/>
      <c r="DR109" s="408"/>
      <c r="DS109" s="408"/>
      <c r="DT109" s="408"/>
      <c r="DU109" s="408"/>
      <c r="DV109" s="408"/>
      <c r="DW109" s="408"/>
      <c r="DX109" s="408"/>
      <c r="DY109" s="408"/>
      <c r="DZ109" s="408"/>
      <c r="EA109" s="359"/>
      <c r="EB109" s="359"/>
      <c r="EC109" s="359"/>
      <c r="ED109" s="359"/>
      <c r="EE109" s="359"/>
      <c r="EF109" s="359"/>
      <c r="EG109" s="359"/>
      <c r="EH109" s="359"/>
      <c r="EI109" s="359"/>
      <c r="EJ109" s="359"/>
      <c r="EK109" s="359"/>
      <c r="EL109" s="359"/>
      <c r="EM109" s="359"/>
      <c r="EN109" s="359"/>
      <c r="EO109" s="359"/>
      <c r="EP109" s="360"/>
      <c r="EQ109" s="360"/>
      <c r="ER109" s="360"/>
      <c r="ES109" s="360"/>
      <c r="ET109" s="360"/>
      <c r="EU109" s="360"/>
      <c r="EV109" s="360"/>
      <c r="EW109" s="360"/>
      <c r="EX109" s="360"/>
      <c r="EY109" s="360"/>
      <c r="EZ109" s="360"/>
      <c r="FA109" s="360"/>
      <c r="FB109" s="360"/>
      <c r="FC109" s="360"/>
      <c r="FD109" s="360"/>
      <c r="FE109" s="360"/>
      <c r="FF109" s="360"/>
      <c r="FG109" s="360"/>
      <c r="FH109" s="352"/>
      <c r="FI109" s="352"/>
      <c r="FJ109" s="352"/>
      <c r="FK109" s="352"/>
      <c r="FL109" s="352"/>
      <c r="FM109" s="352"/>
      <c r="FN109" s="352"/>
      <c r="FO109" s="345"/>
      <c r="FP109" s="345"/>
      <c r="FQ109" s="345"/>
      <c r="FR109" s="345"/>
      <c r="FS109" s="345"/>
    </row>
    <row r="110" spans="1:175" s="112" customFormat="1" ht="16.5" hidden="1" customHeight="1" x14ac:dyDescent="0.25">
      <c r="A110" s="10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2"/>
      <c r="X110" s="12"/>
      <c r="Y110" s="12"/>
      <c r="Z110" s="12"/>
      <c r="AA110" s="105"/>
      <c r="AB110" s="100"/>
      <c r="AC110" s="100"/>
      <c r="AD110" s="100"/>
      <c r="AE110" s="100"/>
      <c r="AF110" s="100"/>
      <c r="AG110" s="100"/>
      <c r="AH110" s="100"/>
      <c r="AI110" s="100"/>
      <c r="AJ110" s="100"/>
      <c r="AK110" s="100"/>
      <c r="AL110" s="100"/>
      <c r="AM110" s="100"/>
      <c r="AN110" s="100"/>
      <c r="AO110" s="100"/>
      <c r="AP110" s="100"/>
      <c r="AQ110" s="100"/>
      <c r="AR110" s="100"/>
      <c r="AS110" s="100"/>
      <c r="AT110" s="100"/>
      <c r="AU110" s="100"/>
      <c r="AV110" s="100"/>
      <c r="AW110" s="109"/>
      <c r="AX110" s="100"/>
      <c r="AY110" s="130"/>
      <c r="AZ110" s="346"/>
      <c r="BA110" s="343"/>
      <c r="BB110" s="389"/>
      <c r="BC110" s="395"/>
      <c r="BD110" s="395"/>
      <c r="BE110" s="395"/>
      <c r="BF110" s="395"/>
      <c r="BG110" s="395"/>
      <c r="BH110" s="395"/>
      <c r="BI110" s="343"/>
      <c r="BJ110" s="357"/>
      <c r="BK110" s="357"/>
      <c r="BL110" s="357"/>
      <c r="BM110" s="357"/>
      <c r="BN110" s="357"/>
      <c r="BO110" s="357"/>
      <c r="BP110" s="357"/>
      <c r="BQ110" s="359"/>
      <c r="BR110" s="359"/>
      <c r="BS110" s="359"/>
      <c r="BT110" s="359"/>
      <c r="BU110" s="359"/>
      <c r="BV110" s="359"/>
      <c r="BW110" s="359"/>
      <c r="BX110" s="359"/>
      <c r="BY110" s="359"/>
      <c r="BZ110" s="359"/>
      <c r="CA110" s="359"/>
      <c r="CB110" s="359"/>
      <c r="CC110" s="359"/>
      <c r="CD110" s="359"/>
      <c r="CE110" s="359"/>
      <c r="CF110" s="359"/>
      <c r="CG110" s="359"/>
      <c r="CH110" s="359"/>
      <c r="CI110" s="359"/>
      <c r="CJ110" s="359"/>
      <c r="CK110" s="359"/>
      <c r="CL110" s="359"/>
      <c r="CM110" s="359"/>
      <c r="CN110" s="359"/>
      <c r="CO110" s="359"/>
      <c r="CP110" s="359"/>
      <c r="CQ110" s="359"/>
      <c r="CR110" s="359"/>
      <c r="CS110" s="359"/>
      <c r="CT110" s="359"/>
      <c r="CU110" s="359"/>
      <c r="CV110" s="359"/>
      <c r="CW110" s="359"/>
      <c r="CX110" s="359"/>
      <c r="CY110" s="359"/>
      <c r="CZ110" s="359"/>
      <c r="DA110" s="359"/>
      <c r="DB110" s="359"/>
      <c r="DC110" s="359"/>
      <c r="DD110" s="359"/>
      <c r="DE110" s="359"/>
      <c r="DF110" s="359"/>
      <c r="DG110" s="359"/>
      <c r="DH110" s="359"/>
      <c r="DI110" s="359"/>
      <c r="DJ110" s="359"/>
      <c r="DK110" s="359"/>
      <c r="DL110" s="359"/>
      <c r="DM110" s="359"/>
      <c r="DN110" s="408"/>
      <c r="DO110" s="408"/>
      <c r="DP110" s="408"/>
      <c r="DQ110" s="408"/>
      <c r="DR110" s="408"/>
      <c r="DS110" s="408"/>
      <c r="DT110" s="408"/>
      <c r="DU110" s="408"/>
      <c r="DV110" s="408"/>
      <c r="DW110" s="408"/>
      <c r="DX110" s="408"/>
      <c r="DY110" s="408"/>
      <c r="DZ110" s="408"/>
      <c r="EA110" s="359"/>
      <c r="EB110" s="359"/>
      <c r="EC110" s="359"/>
      <c r="ED110" s="359"/>
      <c r="EE110" s="359"/>
      <c r="EF110" s="359"/>
      <c r="EG110" s="359"/>
      <c r="EH110" s="359"/>
      <c r="EI110" s="359"/>
      <c r="EJ110" s="359"/>
      <c r="EK110" s="359"/>
      <c r="EL110" s="359"/>
      <c r="EM110" s="359"/>
      <c r="EN110" s="359"/>
      <c r="EO110" s="359"/>
      <c r="EP110" s="360"/>
      <c r="EQ110" s="360"/>
      <c r="ER110" s="360"/>
      <c r="ES110" s="360"/>
      <c r="ET110" s="360"/>
      <c r="EU110" s="360"/>
      <c r="EV110" s="360"/>
      <c r="EW110" s="360"/>
      <c r="EX110" s="360"/>
      <c r="EY110" s="360"/>
      <c r="EZ110" s="360"/>
      <c r="FA110" s="360"/>
      <c r="FB110" s="360"/>
      <c r="FC110" s="360"/>
      <c r="FD110" s="360"/>
      <c r="FE110" s="360"/>
      <c r="FF110" s="360"/>
      <c r="FG110" s="360"/>
      <c r="FH110" s="352"/>
      <c r="FI110" s="352"/>
      <c r="FJ110" s="352"/>
      <c r="FK110" s="352"/>
      <c r="FL110" s="352"/>
      <c r="FM110" s="352"/>
      <c r="FN110" s="352"/>
      <c r="FO110" s="345"/>
      <c r="FP110" s="345"/>
      <c r="FQ110" s="345"/>
      <c r="FR110" s="345"/>
      <c r="FS110" s="345"/>
    </row>
    <row r="111" spans="1:175" s="112" customFormat="1" ht="16.5" hidden="1" customHeight="1" x14ac:dyDescent="0.25">
      <c r="A111" s="10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2"/>
      <c r="X111" s="12"/>
      <c r="Y111" s="12"/>
      <c r="Z111" s="12"/>
      <c r="AA111" s="105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9"/>
      <c r="AX111" s="100"/>
      <c r="AY111" s="130"/>
      <c r="AZ111" s="346"/>
      <c r="BA111" s="343"/>
      <c r="BB111" s="389"/>
      <c r="BC111" s="395"/>
      <c r="BD111" s="395"/>
      <c r="BE111" s="395"/>
      <c r="BF111" s="395"/>
      <c r="BG111" s="395"/>
      <c r="BH111" s="395"/>
      <c r="BI111" s="343"/>
      <c r="BJ111" s="357"/>
      <c r="BK111" s="357"/>
      <c r="BL111" s="357"/>
      <c r="BM111" s="357"/>
      <c r="BN111" s="357"/>
      <c r="BO111" s="357"/>
      <c r="BP111" s="357"/>
      <c r="BQ111" s="359"/>
      <c r="BR111" s="359"/>
      <c r="BS111" s="359"/>
      <c r="BT111" s="359"/>
      <c r="BU111" s="359"/>
      <c r="BV111" s="359"/>
      <c r="BW111" s="359"/>
      <c r="BX111" s="359"/>
      <c r="BY111" s="359"/>
      <c r="BZ111" s="359"/>
      <c r="CA111" s="359"/>
      <c r="CB111" s="359"/>
      <c r="CC111" s="359"/>
      <c r="CD111" s="359"/>
      <c r="CE111" s="359"/>
      <c r="CF111" s="359"/>
      <c r="CG111" s="359"/>
      <c r="CH111" s="359"/>
      <c r="CI111" s="359"/>
      <c r="CJ111" s="359"/>
      <c r="CK111" s="359"/>
      <c r="CL111" s="359"/>
      <c r="CM111" s="359"/>
      <c r="CN111" s="359"/>
      <c r="CO111" s="359"/>
      <c r="CP111" s="359"/>
      <c r="CQ111" s="359"/>
      <c r="CR111" s="359"/>
      <c r="CS111" s="359"/>
      <c r="CT111" s="359"/>
      <c r="CU111" s="359"/>
      <c r="CV111" s="359"/>
      <c r="CW111" s="359"/>
      <c r="CX111" s="359"/>
      <c r="CY111" s="359"/>
      <c r="CZ111" s="359"/>
      <c r="DA111" s="359"/>
      <c r="DB111" s="359"/>
      <c r="DC111" s="359"/>
      <c r="DD111" s="359"/>
      <c r="DE111" s="359"/>
      <c r="DF111" s="359"/>
      <c r="DG111" s="359"/>
      <c r="DH111" s="359"/>
      <c r="DI111" s="359"/>
      <c r="DJ111" s="359"/>
      <c r="DK111" s="359"/>
      <c r="DL111" s="359"/>
      <c r="DM111" s="359"/>
      <c r="DN111" s="408"/>
      <c r="DO111" s="408"/>
      <c r="DP111" s="408"/>
      <c r="DQ111" s="408"/>
      <c r="DR111" s="408"/>
      <c r="DS111" s="408"/>
      <c r="DT111" s="408"/>
      <c r="DU111" s="408"/>
      <c r="DV111" s="408"/>
      <c r="DW111" s="408"/>
      <c r="DX111" s="408"/>
      <c r="DY111" s="408"/>
      <c r="DZ111" s="408"/>
      <c r="EA111" s="359"/>
      <c r="EB111" s="359"/>
      <c r="EC111" s="359"/>
      <c r="ED111" s="359"/>
      <c r="EE111" s="359"/>
      <c r="EF111" s="359"/>
      <c r="EG111" s="359"/>
      <c r="EH111" s="359"/>
      <c r="EI111" s="359"/>
      <c r="EJ111" s="359"/>
      <c r="EK111" s="359"/>
      <c r="EL111" s="359"/>
      <c r="EM111" s="359"/>
      <c r="EN111" s="359"/>
      <c r="EO111" s="359"/>
      <c r="EP111" s="360"/>
      <c r="EQ111" s="360"/>
      <c r="ER111" s="360"/>
      <c r="ES111" s="360"/>
      <c r="ET111" s="360"/>
      <c r="EU111" s="360"/>
      <c r="EV111" s="360"/>
      <c r="EW111" s="360"/>
      <c r="EX111" s="360"/>
      <c r="EY111" s="360"/>
      <c r="EZ111" s="360"/>
      <c r="FA111" s="360"/>
      <c r="FB111" s="360"/>
      <c r="FC111" s="360"/>
      <c r="FD111" s="360"/>
      <c r="FE111" s="360"/>
      <c r="FF111" s="360"/>
      <c r="FG111" s="360"/>
      <c r="FH111" s="352"/>
      <c r="FI111" s="352"/>
      <c r="FJ111" s="352"/>
      <c r="FK111" s="352"/>
      <c r="FL111" s="352"/>
      <c r="FM111" s="352"/>
      <c r="FN111" s="352"/>
      <c r="FO111" s="345"/>
      <c r="FP111" s="345"/>
      <c r="FQ111" s="345"/>
      <c r="FR111" s="345"/>
      <c r="FS111" s="345"/>
    </row>
    <row r="112" spans="1:175" s="112" customFormat="1" ht="16.5" hidden="1" customHeight="1" x14ac:dyDescent="0.25">
      <c r="A112" s="10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2"/>
      <c r="X112" s="12"/>
      <c r="Y112" s="12"/>
      <c r="Z112" s="12"/>
      <c r="AA112" s="105"/>
      <c r="AB112" s="100"/>
      <c r="AC112" s="100"/>
      <c r="AD112" s="100"/>
      <c r="AE112" s="100"/>
      <c r="AF112" s="100"/>
      <c r="AG112" s="100"/>
      <c r="AH112" s="100"/>
      <c r="AI112" s="100"/>
      <c r="AJ112" s="100"/>
      <c r="AK112" s="100"/>
      <c r="AL112" s="100"/>
      <c r="AM112" s="100"/>
      <c r="AN112" s="100"/>
      <c r="AO112" s="100"/>
      <c r="AP112" s="100"/>
      <c r="AQ112" s="100"/>
      <c r="AR112" s="100"/>
      <c r="AS112" s="100"/>
      <c r="AT112" s="100"/>
      <c r="AU112" s="100"/>
      <c r="AV112" s="100"/>
      <c r="AW112" s="109"/>
      <c r="AX112" s="100"/>
      <c r="AY112" s="130"/>
      <c r="AZ112" s="346"/>
      <c r="BA112" s="343"/>
      <c r="BB112" s="389"/>
      <c r="BC112" s="395"/>
      <c r="BD112" s="395"/>
      <c r="BE112" s="395"/>
      <c r="BF112" s="395"/>
      <c r="BG112" s="395"/>
      <c r="BH112" s="395"/>
      <c r="BI112" s="343"/>
      <c r="BJ112" s="357"/>
      <c r="BK112" s="357"/>
      <c r="BL112" s="357"/>
      <c r="BM112" s="357"/>
      <c r="BN112" s="357"/>
      <c r="BO112" s="357"/>
      <c r="BP112" s="357"/>
      <c r="BQ112" s="359"/>
      <c r="BR112" s="359"/>
      <c r="BS112" s="359"/>
      <c r="BT112" s="359"/>
      <c r="BU112" s="359"/>
      <c r="BV112" s="359"/>
      <c r="BW112" s="359"/>
      <c r="BX112" s="359"/>
      <c r="BY112" s="359"/>
      <c r="BZ112" s="359"/>
      <c r="CA112" s="359"/>
      <c r="CB112" s="359"/>
      <c r="CC112" s="359"/>
      <c r="CD112" s="359"/>
      <c r="CE112" s="359"/>
      <c r="CF112" s="359"/>
      <c r="CG112" s="359"/>
      <c r="CH112" s="359"/>
      <c r="CI112" s="359"/>
      <c r="CJ112" s="359"/>
      <c r="CK112" s="359"/>
      <c r="CL112" s="359"/>
      <c r="CM112" s="359"/>
      <c r="CN112" s="359"/>
      <c r="CO112" s="359"/>
      <c r="CP112" s="359"/>
      <c r="CQ112" s="359"/>
      <c r="CR112" s="359"/>
      <c r="CS112" s="359"/>
      <c r="CT112" s="359"/>
      <c r="CU112" s="359"/>
      <c r="CV112" s="359"/>
      <c r="CW112" s="359"/>
      <c r="CX112" s="359"/>
      <c r="CY112" s="359"/>
      <c r="CZ112" s="359"/>
      <c r="DA112" s="359"/>
      <c r="DB112" s="359"/>
      <c r="DC112" s="359"/>
      <c r="DD112" s="359"/>
      <c r="DE112" s="359"/>
      <c r="DF112" s="359"/>
      <c r="DG112" s="359"/>
      <c r="DH112" s="359"/>
      <c r="DI112" s="359"/>
      <c r="DJ112" s="359"/>
      <c r="DK112" s="359"/>
      <c r="DL112" s="359"/>
      <c r="DM112" s="359"/>
      <c r="DN112" s="408"/>
      <c r="DO112" s="408"/>
      <c r="DP112" s="408"/>
      <c r="DQ112" s="408"/>
      <c r="DR112" s="408"/>
      <c r="DS112" s="408"/>
      <c r="DT112" s="408"/>
      <c r="DU112" s="408"/>
      <c r="DV112" s="408"/>
      <c r="DW112" s="408"/>
      <c r="DX112" s="408"/>
      <c r="DY112" s="408"/>
      <c r="DZ112" s="408"/>
      <c r="EA112" s="359"/>
      <c r="EB112" s="359"/>
      <c r="EC112" s="359"/>
      <c r="ED112" s="359"/>
      <c r="EE112" s="359"/>
      <c r="EF112" s="359"/>
      <c r="EG112" s="359"/>
      <c r="EH112" s="359"/>
      <c r="EI112" s="359"/>
      <c r="EJ112" s="359"/>
      <c r="EK112" s="359"/>
      <c r="EL112" s="359"/>
      <c r="EM112" s="359"/>
      <c r="EN112" s="359"/>
      <c r="EO112" s="359"/>
      <c r="EP112" s="360"/>
      <c r="EQ112" s="360"/>
      <c r="ER112" s="360"/>
      <c r="ES112" s="360"/>
      <c r="ET112" s="360"/>
      <c r="EU112" s="360"/>
      <c r="EV112" s="360"/>
      <c r="EW112" s="360"/>
      <c r="EX112" s="360"/>
      <c r="EY112" s="360"/>
      <c r="EZ112" s="360"/>
      <c r="FA112" s="360"/>
      <c r="FB112" s="360"/>
      <c r="FC112" s="360"/>
      <c r="FD112" s="360"/>
      <c r="FE112" s="360"/>
      <c r="FF112" s="360"/>
      <c r="FG112" s="360"/>
      <c r="FH112" s="352"/>
      <c r="FI112" s="352"/>
      <c r="FJ112" s="352"/>
      <c r="FK112" s="352"/>
      <c r="FL112" s="352"/>
      <c r="FM112" s="352"/>
      <c r="FN112" s="352"/>
      <c r="FO112" s="345"/>
      <c r="FP112" s="345"/>
      <c r="FQ112" s="345"/>
      <c r="FR112" s="345"/>
      <c r="FS112" s="345"/>
    </row>
    <row r="113" spans="1:175" s="112" customFormat="1" ht="16.5" hidden="1" customHeight="1" x14ac:dyDescent="0.25">
      <c r="A113" s="10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2"/>
      <c r="X113" s="12"/>
      <c r="Y113" s="12"/>
      <c r="Z113" s="12"/>
      <c r="AA113" s="105"/>
      <c r="AB113" s="100"/>
      <c r="AC113" s="100"/>
      <c r="AD113" s="100"/>
      <c r="AE113" s="100"/>
      <c r="AF113" s="100"/>
      <c r="AG113" s="100"/>
      <c r="AH113" s="100"/>
      <c r="AI113" s="100"/>
      <c r="AJ113" s="100"/>
      <c r="AK113" s="100"/>
      <c r="AL113" s="100"/>
      <c r="AM113" s="100"/>
      <c r="AN113" s="100"/>
      <c r="AO113" s="100"/>
      <c r="AP113" s="100"/>
      <c r="AQ113" s="100"/>
      <c r="AR113" s="100"/>
      <c r="AS113" s="100"/>
      <c r="AT113" s="100"/>
      <c r="AU113" s="100"/>
      <c r="AV113" s="100"/>
      <c r="AW113" s="109"/>
      <c r="AX113" s="100"/>
      <c r="AY113" s="130"/>
      <c r="AZ113" s="346"/>
      <c r="BA113" s="343"/>
      <c r="BB113" s="389"/>
      <c r="BC113" s="395"/>
      <c r="BD113" s="395"/>
      <c r="BE113" s="395"/>
      <c r="BF113" s="395"/>
      <c r="BG113" s="395"/>
      <c r="BH113" s="395"/>
      <c r="BI113" s="343"/>
      <c r="BJ113" s="357"/>
      <c r="BK113" s="357"/>
      <c r="BL113" s="357"/>
      <c r="BM113" s="357"/>
      <c r="BN113" s="357"/>
      <c r="BO113" s="357"/>
      <c r="BP113" s="357"/>
      <c r="BQ113" s="359"/>
      <c r="BR113" s="359"/>
      <c r="BS113" s="359"/>
      <c r="BT113" s="359"/>
      <c r="BU113" s="359"/>
      <c r="BV113" s="359"/>
      <c r="BW113" s="359"/>
      <c r="BX113" s="359"/>
      <c r="BY113" s="359"/>
      <c r="BZ113" s="359"/>
      <c r="CA113" s="359"/>
      <c r="CB113" s="359"/>
      <c r="CC113" s="359"/>
      <c r="CD113" s="359"/>
      <c r="CE113" s="359"/>
      <c r="CF113" s="359"/>
      <c r="CG113" s="359"/>
      <c r="CH113" s="359"/>
      <c r="CI113" s="359"/>
      <c r="CJ113" s="359"/>
      <c r="CK113" s="359"/>
      <c r="CL113" s="359"/>
      <c r="CM113" s="359"/>
      <c r="CN113" s="359"/>
      <c r="CO113" s="359"/>
      <c r="CP113" s="359"/>
      <c r="CQ113" s="359"/>
      <c r="CR113" s="359"/>
      <c r="CS113" s="359"/>
      <c r="CT113" s="359"/>
      <c r="CU113" s="359"/>
      <c r="CV113" s="359"/>
      <c r="CW113" s="359"/>
      <c r="CX113" s="359"/>
      <c r="CY113" s="359"/>
      <c r="CZ113" s="359"/>
      <c r="DA113" s="359"/>
      <c r="DB113" s="359"/>
      <c r="DC113" s="359"/>
      <c r="DD113" s="359"/>
      <c r="DE113" s="359"/>
      <c r="DF113" s="359"/>
      <c r="DG113" s="359"/>
      <c r="DH113" s="359"/>
      <c r="DI113" s="359"/>
      <c r="DJ113" s="359"/>
      <c r="DK113" s="359"/>
      <c r="DL113" s="359"/>
      <c r="DM113" s="359"/>
      <c r="DN113" s="408"/>
      <c r="DO113" s="408"/>
      <c r="DP113" s="408"/>
      <c r="DQ113" s="408"/>
      <c r="DR113" s="408"/>
      <c r="DS113" s="408"/>
      <c r="DT113" s="408"/>
      <c r="DU113" s="408"/>
      <c r="DV113" s="408"/>
      <c r="DW113" s="408"/>
      <c r="DX113" s="408"/>
      <c r="DY113" s="408"/>
      <c r="DZ113" s="408"/>
      <c r="EA113" s="359"/>
      <c r="EB113" s="359"/>
      <c r="EC113" s="359"/>
      <c r="ED113" s="359"/>
      <c r="EE113" s="359"/>
      <c r="EF113" s="359"/>
      <c r="EG113" s="359"/>
      <c r="EH113" s="359"/>
      <c r="EI113" s="359"/>
      <c r="EJ113" s="359"/>
      <c r="EK113" s="359"/>
      <c r="EL113" s="359"/>
      <c r="EM113" s="359"/>
      <c r="EN113" s="359"/>
      <c r="EO113" s="359"/>
      <c r="EP113" s="360"/>
      <c r="EQ113" s="360"/>
      <c r="ER113" s="360"/>
      <c r="ES113" s="360"/>
      <c r="ET113" s="360"/>
      <c r="EU113" s="360"/>
      <c r="EV113" s="360"/>
      <c r="EW113" s="360"/>
      <c r="EX113" s="360"/>
      <c r="EY113" s="360"/>
      <c r="EZ113" s="360"/>
      <c r="FA113" s="360"/>
      <c r="FB113" s="360"/>
      <c r="FC113" s="360"/>
      <c r="FD113" s="360"/>
      <c r="FE113" s="360"/>
      <c r="FF113" s="360"/>
      <c r="FG113" s="360"/>
      <c r="FH113" s="352"/>
      <c r="FI113" s="352"/>
      <c r="FJ113" s="352"/>
      <c r="FK113" s="352"/>
      <c r="FL113" s="352"/>
      <c r="FM113" s="352"/>
      <c r="FN113" s="352"/>
      <c r="FO113" s="345"/>
      <c r="FP113" s="345"/>
      <c r="FQ113" s="345"/>
      <c r="FR113" s="345"/>
      <c r="FS113" s="345"/>
    </row>
    <row r="114" spans="1:175" s="112" customFormat="1" ht="16.5" hidden="1" customHeight="1" x14ac:dyDescent="0.25">
      <c r="A114" s="10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2"/>
      <c r="X114" s="12"/>
      <c r="Y114" s="12"/>
      <c r="Z114" s="12"/>
      <c r="AA114" s="105"/>
      <c r="AB114" s="100"/>
      <c r="AC114" s="100"/>
      <c r="AD114" s="100"/>
      <c r="AE114" s="100"/>
      <c r="AF114" s="100"/>
      <c r="AG114" s="100"/>
      <c r="AH114" s="100"/>
      <c r="AI114" s="100"/>
      <c r="AJ114" s="100"/>
      <c r="AK114" s="100"/>
      <c r="AL114" s="100"/>
      <c r="AM114" s="100"/>
      <c r="AN114" s="100"/>
      <c r="AO114" s="100"/>
      <c r="AP114" s="100"/>
      <c r="AQ114" s="100"/>
      <c r="AR114" s="100"/>
      <c r="AS114" s="100"/>
      <c r="AT114" s="100"/>
      <c r="AU114" s="100"/>
      <c r="AV114" s="100"/>
      <c r="AW114" s="109"/>
      <c r="AX114" s="100"/>
      <c r="AY114" s="130"/>
      <c r="AZ114" s="346"/>
      <c r="BA114" s="343"/>
      <c r="BB114" s="389"/>
      <c r="BC114" s="395"/>
      <c r="BD114" s="395"/>
      <c r="BE114" s="395"/>
      <c r="BF114" s="395"/>
      <c r="BG114" s="395"/>
      <c r="BH114" s="395"/>
      <c r="BI114" s="343"/>
      <c r="BJ114" s="357"/>
      <c r="BK114" s="357"/>
      <c r="BL114" s="357"/>
      <c r="BM114" s="357"/>
      <c r="BN114" s="357"/>
      <c r="BO114" s="357"/>
      <c r="BP114" s="357"/>
      <c r="BQ114" s="359"/>
      <c r="BR114" s="359"/>
      <c r="BS114" s="359"/>
      <c r="BT114" s="359"/>
      <c r="BU114" s="359"/>
      <c r="BV114" s="359"/>
      <c r="BW114" s="359"/>
      <c r="BX114" s="359"/>
      <c r="BY114" s="359"/>
      <c r="BZ114" s="359"/>
      <c r="CA114" s="359"/>
      <c r="CB114" s="359"/>
      <c r="CC114" s="359"/>
      <c r="CD114" s="359"/>
      <c r="CE114" s="359"/>
      <c r="CF114" s="359"/>
      <c r="CG114" s="359"/>
      <c r="CH114" s="359"/>
      <c r="CI114" s="359"/>
      <c r="CJ114" s="359"/>
      <c r="CK114" s="359"/>
      <c r="CL114" s="359"/>
      <c r="CM114" s="359"/>
      <c r="CN114" s="359"/>
      <c r="CO114" s="359"/>
      <c r="CP114" s="359"/>
      <c r="CQ114" s="359"/>
      <c r="CR114" s="359"/>
      <c r="CS114" s="359"/>
      <c r="CT114" s="359"/>
      <c r="CU114" s="359"/>
      <c r="CV114" s="359"/>
      <c r="CW114" s="359"/>
      <c r="CX114" s="359"/>
      <c r="CY114" s="359"/>
      <c r="CZ114" s="359"/>
      <c r="DA114" s="359"/>
      <c r="DB114" s="359"/>
      <c r="DC114" s="359"/>
      <c r="DD114" s="359"/>
      <c r="DE114" s="359"/>
      <c r="DF114" s="359"/>
      <c r="DG114" s="359"/>
      <c r="DH114" s="359"/>
      <c r="DI114" s="359"/>
      <c r="DJ114" s="359"/>
      <c r="DK114" s="359"/>
      <c r="DL114" s="359"/>
      <c r="DM114" s="359"/>
      <c r="DN114" s="408"/>
      <c r="DO114" s="408"/>
      <c r="DP114" s="408"/>
      <c r="DQ114" s="408"/>
      <c r="DR114" s="408"/>
      <c r="DS114" s="408"/>
      <c r="DT114" s="408"/>
      <c r="DU114" s="408"/>
      <c r="DV114" s="408"/>
      <c r="DW114" s="408"/>
      <c r="DX114" s="408"/>
      <c r="DY114" s="408"/>
      <c r="DZ114" s="408"/>
      <c r="EA114" s="359"/>
      <c r="EB114" s="359"/>
      <c r="EC114" s="359"/>
      <c r="ED114" s="359"/>
      <c r="EE114" s="359"/>
      <c r="EF114" s="359"/>
      <c r="EG114" s="359"/>
      <c r="EH114" s="359"/>
      <c r="EI114" s="359"/>
      <c r="EJ114" s="359"/>
      <c r="EK114" s="359"/>
      <c r="EL114" s="359"/>
      <c r="EM114" s="359"/>
      <c r="EN114" s="359"/>
      <c r="EO114" s="359"/>
      <c r="EP114" s="360"/>
      <c r="EQ114" s="360"/>
      <c r="ER114" s="360"/>
      <c r="ES114" s="360"/>
      <c r="ET114" s="360"/>
      <c r="EU114" s="360"/>
      <c r="EV114" s="360"/>
      <c r="EW114" s="360"/>
      <c r="EX114" s="360"/>
      <c r="EY114" s="360"/>
      <c r="EZ114" s="360"/>
      <c r="FA114" s="360"/>
      <c r="FB114" s="360"/>
      <c r="FC114" s="360"/>
      <c r="FD114" s="360"/>
      <c r="FE114" s="360"/>
      <c r="FF114" s="360"/>
      <c r="FG114" s="360"/>
      <c r="FH114" s="352"/>
      <c r="FI114" s="352"/>
      <c r="FJ114" s="352"/>
      <c r="FK114" s="352"/>
      <c r="FL114" s="352"/>
      <c r="FM114" s="352"/>
      <c r="FN114" s="352"/>
      <c r="FO114" s="345"/>
      <c r="FP114" s="345"/>
      <c r="FQ114" s="345"/>
      <c r="FR114" s="345"/>
      <c r="FS114" s="345"/>
    </row>
    <row r="115" spans="1:175" s="112" customFormat="1" ht="16.5" hidden="1" customHeight="1" x14ac:dyDescent="0.25">
      <c r="A115" s="10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2"/>
      <c r="X115" s="12"/>
      <c r="Y115" s="12"/>
      <c r="Z115" s="12"/>
      <c r="AA115" s="105"/>
      <c r="AB115" s="100"/>
      <c r="AC115" s="100"/>
      <c r="AD115" s="100"/>
      <c r="AE115" s="100"/>
      <c r="AF115" s="100"/>
      <c r="AG115" s="100"/>
      <c r="AH115" s="100"/>
      <c r="AI115" s="100"/>
      <c r="AJ115" s="100"/>
      <c r="AK115" s="100"/>
      <c r="AL115" s="100"/>
      <c r="AM115" s="100"/>
      <c r="AN115" s="100"/>
      <c r="AO115" s="100"/>
      <c r="AP115" s="100"/>
      <c r="AQ115" s="100"/>
      <c r="AR115" s="100"/>
      <c r="AS115" s="100"/>
      <c r="AT115" s="100"/>
      <c r="AU115" s="100"/>
      <c r="AV115" s="100"/>
      <c r="AW115" s="109"/>
      <c r="AX115" s="100"/>
      <c r="AY115" s="130"/>
      <c r="AZ115" s="346"/>
      <c r="BA115" s="343"/>
      <c r="BB115" s="389"/>
      <c r="BC115" s="395"/>
      <c r="BD115" s="395"/>
      <c r="BE115" s="395"/>
      <c r="BF115" s="395"/>
      <c r="BG115" s="395"/>
      <c r="BH115" s="395"/>
      <c r="BI115" s="343"/>
      <c r="BJ115" s="357"/>
      <c r="BK115" s="357"/>
      <c r="BL115" s="357"/>
      <c r="BM115" s="357"/>
      <c r="BN115" s="357"/>
      <c r="BO115" s="357"/>
      <c r="BP115" s="357"/>
      <c r="BQ115" s="359"/>
      <c r="BR115" s="359"/>
      <c r="BS115" s="359"/>
      <c r="BT115" s="359"/>
      <c r="BU115" s="359"/>
      <c r="BV115" s="359"/>
      <c r="BW115" s="359"/>
      <c r="BX115" s="359"/>
      <c r="BY115" s="359"/>
      <c r="BZ115" s="359"/>
      <c r="CA115" s="359"/>
      <c r="CB115" s="359"/>
      <c r="CC115" s="359"/>
      <c r="CD115" s="359"/>
      <c r="CE115" s="359"/>
      <c r="CF115" s="359"/>
      <c r="CG115" s="359"/>
      <c r="CH115" s="359"/>
      <c r="CI115" s="359"/>
      <c r="CJ115" s="359"/>
      <c r="CK115" s="359"/>
      <c r="CL115" s="359"/>
      <c r="CM115" s="359"/>
      <c r="CN115" s="359"/>
      <c r="CO115" s="359"/>
      <c r="CP115" s="359"/>
      <c r="CQ115" s="359"/>
      <c r="CR115" s="359"/>
      <c r="CS115" s="359"/>
      <c r="CT115" s="359"/>
      <c r="CU115" s="359"/>
      <c r="CV115" s="359"/>
      <c r="CW115" s="359"/>
      <c r="CX115" s="359"/>
      <c r="CY115" s="359"/>
      <c r="CZ115" s="359"/>
      <c r="DA115" s="359"/>
      <c r="DB115" s="359"/>
      <c r="DC115" s="359"/>
      <c r="DD115" s="359"/>
      <c r="DE115" s="359"/>
      <c r="DF115" s="359"/>
      <c r="DG115" s="359"/>
      <c r="DH115" s="359"/>
      <c r="DI115" s="359"/>
      <c r="DJ115" s="359"/>
      <c r="DK115" s="359"/>
      <c r="DL115" s="359"/>
      <c r="DM115" s="359"/>
      <c r="DN115" s="408"/>
      <c r="DO115" s="408"/>
      <c r="DP115" s="408"/>
      <c r="DQ115" s="408"/>
      <c r="DR115" s="408"/>
      <c r="DS115" s="408"/>
      <c r="DT115" s="408"/>
      <c r="DU115" s="408"/>
      <c r="DV115" s="408"/>
      <c r="DW115" s="408"/>
      <c r="DX115" s="408"/>
      <c r="DY115" s="408"/>
      <c r="DZ115" s="408"/>
      <c r="EA115" s="359"/>
      <c r="EB115" s="359"/>
      <c r="EC115" s="359"/>
      <c r="ED115" s="359"/>
      <c r="EE115" s="359"/>
      <c r="EF115" s="359"/>
      <c r="EG115" s="359"/>
      <c r="EH115" s="359"/>
      <c r="EI115" s="359"/>
      <c r="EJ115" s="359"/>
      <c r="EK115" s="359"/>
      <c r="EL115" s="359"/>
      <c r="EM115" s="359"/>
      <c r="EN115" s="359"/>
      <c r="EO115" s="359"/>
      <c r="EP115" s="360"/>
      <c r="EQ115" s="360"/>
      <c r="ER115" s="360"/>
      <c r="ES115" s="360"/>
      <c r="ET115" s="360"/>
      <c r="EU115" s="360"/>
      <c r="EV115" s="360"/>
      <c r="EW115" s="360"/>
      <c r="EX115" s="360"/>
      <c r="EY115" s="360"/>
      <c r="EZ115" s="360"/>
      <c r="FA115" s="360"/>
      <c r="FB115" s="360"/>
      <c r="FC115" s="360"/>
      <c r="FD115" s="360"/>
      <c r="FE115" s="360"/>
      <c r="FF115" s="360"/>
      <c r="FG115" s="360"/>
      <c r="FH115" s="352"/>
      <c r="FI115" s="352"/>
      <c r="FJ115" s="352"/>
      <c r="FK115" s="352"/>
      <c r="FL115" s="352"/>
      <c r="FM115" s="352"/>
      <c r="FN115" s="352"/>
      <c r="FO115" s="345"/>
      <c r="FP115" s="345"/>
      <c r="FQ115" s="345"/>
      <c r="FR115" s="345"/>
      <c r="FS115" s="345"/>
    </row>
    <row r="116" spans="1:175" s="112" customFormat="1" ht="16.5" hidden="1" customHeight="1" x14ac:dyDescent="0.25">
      <c r="A116" s="10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2"/>
      <c r="X116" s="12"/>
      <c r="Y116" s="12"/>
      <c r="Z116" s="12"/>
      <c r="AA116" s="105"/>
      <c r="AB116" s="100"/>
      <c r="AC116" s="100"/>
      <c r="AD116" s="100"/>
      <c r="AE116" s="100"/>
      <c r="AF116" s="100"/>
      <c r="AG116" s="100"/>
      <c r="AH116" s="100"/>
      <c r="AI116" s="100"/>
      <c r="AJ116" s="100"/>
      <c r="AK116" s="100"/>
      <c r="AL116" s="100"/>
      <c r="AM116" s="100"/>
      <c r="AN116" s="100"/>
      <c r="AO116" s="100"/>
      <c r="AP116" s="100"/>
      <c r="AQ116" s="100"/>
      <c r="AR116" s="100"/>
      <c r="AS116" s="100"/>
      <c r="AT116" s="100"/>
      <c r="AU116" s="100"/>
      <c r="AV116" s="100"/>
      <c r="AW116" s="109"/>
      <c r="AX116" s="100"/>
      <c r="AY116" s="130"/>
      <c r="AZ116" s="346"/>
      <c r="BA116" s="343"/>
      <c r="BB116" s="389"/>
      <c r="BC116" s="395"/>
      <c r="BD116" s="395"/>
      <c r="BE116" s="395"/>
      <c r="BF116" s="395"/>
      <c r="BG116" s="395"/>
      <c r="BH116" s="395"/>
      <c r="BI116" s="343"/>
      <c r="BJ116" s="357"/>
      <c r="BK116" s="357"/>
      <c r="BL116" s="357"/>
      <c r="BM116" s="357"/>
      <c r="BN116" s="357"/>
      <c r="BO116" s="357"/>
      <c r="BP116" s="357"/>
      <c r="BQ116" s="359"/>
      <c r="BR116" s="359"/>
      <c r="BS116" s="359"/>
      <c r="BT116" s="359"/>
      <c r="BU116" s="359"/>
      <c r="BV116" s="359"/>
      <c r="BW116" s="359"/>
      <c r="BX116" s="359"/>
      <c r="BY116" s="359"/>
      <c r="BZ116" s="359"/>
      <c r="CA116" s="359"/>
      <c r="CB116" s="359"/>
      <c r="CC116" s="359"/>
      <c r="CD116" s="359"/>
      <c r="CE116" s="359"/>
      <c r="CF116" s="359"/>
      <c r="CG116" s="359"/>
      <c r="CH116" s="359"/>
      <c r="CI116" s="359"/>
      <c r="CJ116" s="359"/>
      <c r="CK116" s="359"/>
      <c r="CL116" s="359"/>
      <c r="CM116" s="359"/>
      <c r="CN116" s="359"/>
      <c r="CO116" s="359"/>
      <c r="CP116" s="359"/>
      <c r="CQ116" s="359"/>
      <c r="CR116" s="359"/>
      <c r="CS116" s="359"/>
      <c r="CT116" s="359"/>
      <c r="CU116" s="359"/>
      <c r="CV116" s="359"/>
      <c r="CW116" s="359"/>
      <c r="CX116" s="359"/>
      <c r="CY116" s="359"/>
      <c r="CZ116" s="359"/>
      <c r="DA116" s="359"/>
      <c r="DB116" s="359"/>
      <c r="DC116" s="359"/>
      <c r="DD116" s="359"/>
      <c r="DE116" s="359"/>
      <c r="DF116" s="359"/>
      <c r="DG116" s="359"/>
      <c r="DH116" s="359"/>
      <c r="DI116" s="359"/>
      <c r="DJ116" s="359"/>
      <c r="DK116" s="359"/>
      <c r="DL116" s="359"/>
      <c r="DM116" s="359"/>
      <c r="DN116" s="408"/>
      <c r="DO116" s="408"/>
      <c r="DP116" s="408"/>
      <c r="DQ116" s="408"/>
      <c r="DR116" s="408"/>
      <c r="DS116" s="408"/>
      <c r="DT116" s="408"/>
      <c r="DU116" s="408"/>
      <c r="DV116" s="408"/>
      <c r="DW116" s="408"/>
      <c r="DX116" s="408"/>
      <c r="DY116" s="408"/>
      <c r="DZ116" s="408"/>
      <c r="EA116" s="359"/>
      <c r="EB116" s="359"/>
      <c r="EC116" s="359"/>
      <c r="ED116" s="359"/>
      <c r="EE116" s="359"/>
      <c r="EF116" s="359"/>
      <c r="EG116" s="359"/>
      <c r="EH116" s="359"/>
      <c r="EI116" s="359"/>
      <c r="EJ116" s="359"/>
      <c r="EK116" s="359"/>
      <c r="EL116" s="359"/>
      <c r="EM116" s="359"/>
      <c r="EN116" s="359"/>
      <c r="EO116" s="359"/>
      <c r="EP116" s="360"/>
      <c r="EQ116" s="360"/>
      <c r="ER116" s="360"/>
      <c r="ES116" s="360"/>
      <c r="ET116" s="360"/>
      <c r="EU116" s="360"/>
      <c r="EV116" s="360"/>
      <c r="EW116" s="360"/>
      <c r="EX116" s="360"/>
      <c r="EY116" s="360"/>
      <c r="EZ116" s="360"/>
      <c r="FA116" s="360"/>
      <c r="FB116" s="360"/>
      <c r="FC116" s="360"/>
      <c r="FD116" s="360"/>
      <c r="FE116" s="360"/>
      <c r="FF116" s="360"/>
      <c r="FG116" s="360"/>
      <c r="FH116" s="352"/>
      <c r="FI116" s="352"/>
      <c r="FJ116" s="352"/>
      <c r="FK116" s="352"/>
      <c r="FL116" s="352"/>
      <c r="FM116" s="352"/>
      <c r="FN116" s="352"/>
      <c r="FO116" s="345"/>
      <c r="FP116" s="345"/>
      <c r="FQ116" s="345"/>
      <c r="FR116" s="345"/>
      <c r="FS116" s="345"/>
    </row>
    <row r="117" spans="1:175" s="112" customFormat="1" ht="16.5" hidden="1" customHeight="1" x14ac:dyDescent="0.25">
      <c r="A117" s="10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2"/>
      <c r="X117" s="12"/>
      <c r="Y117" s="12"/>
      <c r="Z117" s="12"/>
      <c r="AA117" s="105"/>
      <c r="AB117" s="100"/>
      <c r="AC117" s="100"/>
      <c r="AD117" s="100"/>
      <c r="AE117" s="100"/>
      <c r="AF117" s="100"/>
      <c r="AG117" s="100"/>
      <c r="AH117" s="100"/>
      <c r="AI117" s="100"/>
      <c r="AJ117" s="100"/>
      <c r="AK117" s="100"/>
      <c r="AL117" s="100"/>
      <c r="AM117" s="100"/>
      <c r="AN117" s="100"/>
      <c r="AO117" s="100"/>
      <c r="AP117" s="100"/>
      <c r="AQ117" s="100"/>
      <c r="AR117" s="100"/>
      <c r="AS117" s="100"/>
      <c r="AT117" s="100"/>
      <c r="AU117" s="100"/>
      <c r="AV117" s="100"/>
      <c r="AW117" s="109"/>
      <c r="AX117" s="100"/>
      <c r="AY117" s="130"/>
      <c r="AZ117" s="346"/>
      <c r="BA117" s="343"/>
      <c r="BB117" s="389"/>
      <c r="BC117" s="395"/>
      <c r="BD117" s="395"/>
      <c r="BE117" s="395"/>
      <c r="BF117" s="395"/>
      <c r="BG117" s="395"/>
      <c r="BH117" s="395"/>
      <c r="BI117" s="343"/>
      <c r="BJ117" s="357"/>
      <c r="BK117" s="357"/>
      <c r="BL117" s="357"/>
      <c r="BM117" s="357"/>
      <c r="BN117" s="357"/>
      <c r="BO117" s="357"/>
      <c r="BP117" s="357"/>
      <c r="BQ117" s="359"/>
      <c r="BR117" s="359"/>
      <c r="BS117" s="359"/>
      <c r="BT117" s="359"/>
      <c r="BU117" s="359"/>
      <c r="BV117" s="359"/>
      <c r="BW117" s="359"/>
      <c r="BX117" s="359"/>
      <c r="BY117" s="359"/>
      <c r="BZ117" s="359"/>
      <c r="CA117" s="359"/>
      <c r="CB117" s="359"/>
      <c r="CC117" s="359"/>
      <c r="CD117" s="359"/>
      <c r="CE117" s="359"/>
      <c r="CF117" s="359"/>
      <c r="CG117" s="359"/>
      <c r="CH117" s="359"/>
      <c r="CI117" s="359"/>
      <c r="CJ117" s="359"/>
      <c r="CK117" s="359"/>
      <c r="CL117" s="359"/>
      <c r="CM117" s="359"/>
      <c r="CN117" s="359"/>
      <c r="CO117" s="359"/>
      <c r="CP117" s="359"/>
      <c r="CQ117" s="359"/>
      <c r="CR117" s="359"/>
      <c r="CS117" s="359"/>
      <c r="CT117" s="359"/>
      <c r="CU117" s="359"/>
      <c r="CV117" s="359"/>
      <c r="CW117" s="359"/>
      <c r="CX117" s="359"/>
      <c r="CY117" s="359"/>
      <c r="CZ117" s="359"/>
      <c r="DA117" s="359"/>
      <c r="DB117" s="359"/>
      <c r="DC117" s="359"/>
      <c r="DD117" s="359"/>
      <c r="DE117" s="359"/>
      <c r="DF117" s="359"/>
      <c r="DG117" s="359"/>
      <c r="DH117" s="359"/>
      <c r="DI117" s="359"/>
      <c r="DJ117" s="359"/>
      <c r="DK117" s="359"/>
      <c r="DL117" s="359"/>
      <c r="DM117" s="359"/>
      <c r="DN117" s="408"/>
      <c r="DO117" s="408"/>
      <c r="DP117" s="408"/>
      <c r="DQ117" s="408"/>
      <c r="DR117" s="408"/>
      <c r="DS117" s="408"/>
      <c r="DT117" s="408"/>
      <c r="DU117" s="408"/>
      <c r="DV117" s="408"/>
      <c r="DW117" s="408"/>
      <c r="DX117" s="408"/>
      <c r="DY117" s="408"/>
      <c r="DZ117" s="408"/>
      <c r="EA117" s="359"/>
      <c r="EB117" s="359"/>
      <c r="EC117" s="359"/>
      <c r="ED117" s="359"/>
      <c r="EE117" s="359"/>
      <c r="EF117" s="359"/>
      <c r="EG117" s="359"/>
      <c r="EH117" s="359"/>
      <c r="EI117" s="359"/>
      <c r="EJ117" s="359"/>
      <c r="EK117" s="359"/>
      <c r="EL117" s="359"/>
      <c r="EM117" s="359"/>
      <c r="EN117" s="359"/>
      <c r="EO117" s="359"/>
      <c r="EP117" s="360"/>
      <c r="EQ117" s="360"/>
      <c r="ER117" s="360"/>
      <c r="ES117" s="360"/>
      <c r="ET117" s="360"/>
      <c r="EU117" s="360"/>
      <c r="EV117" s="360"/>
      <c r="EW117" s="360"/>
      <c r="EX117" s="360"/>
      <c r="EY117" s="360"/>
      <c r="EZ117" s="360"/>
      <c r="FA117" s="360"/>
      <c r="FB117" s="360"/>
      <c r="FC117" s="360"/>
      <c r="FD117" s="360"/>
      <c r="FE117" s="360"/>
      <c r="FF117" s="360"/>
      <c r="FG117" s="360"/>
      <c r="FH117" s="352"/>
      <c r="FI117" s="352"/>
      <c r="FJ117" s="352"/>
      <c r="FK117" s="352"/>
      <c r="FL117" s="352"/>
      <c r="FM117" s="352"/>
      <c r="FN117" s="352"/>
      <c r="FO117" s="345"/>
      <c r="FP117" s="345"/>
      <c r="FQ117" s="345"/>
      <c r="FR117" s="345"/>
      <c r="FS117" s="345"/>
    </row>
    <row r="118" spans="1:175" s="112" customFormat="1" ht="16.5" hidden="1" customHeight="1" x14ac:dyDescent="0.25">
      <c r="A118" s="10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2"/>
      <c r="X118" s="12"/>
      <c r="Y118" s="12"/>
      <c r="Z118" s="12"/>
      <c r="AA118" s="105"/>
      <c r="AB118" s="100"/>
      <c r="AC118" s="100"/>
      <c r="AD118" s="100"/>
      <c r="AE118" s="100"/>
      <c r="AF118" s="100"/>
      <c r="AG118" s="100"/>
      <c r="AH118" s="100"/>
      <c r="AI118" s="100"/>
      <c r="AJ118" s="100"/>
      <c r="AK118" s="100"/>
      <c r="AL118" s="100"/>
      <c r="AM118" s="100"/>
      <c r="AN118" s="100"/>
      <c r="AO118" s="100"/>
      <c r="AP118" s="100"/>
      <c r="AQ118" s="100"/>
      <c r="AR118" s="100"/>
      <c r="AS118" s="100"/>
      <c r="AT118" s="100"/>
      <c r="AU118" s="100"/>
      <c r="AV118" s="100"/>
      <c r="AW118" s="109"/>
      <c r="AX118" s="100"/>
      <c r="AY118" s="130"/>
      <c r="AZ118" s="346"/>
      <c r="BA118" s="343"/>
      <c r="BB118" s="389"/>
      <c r="BC118" s="395"/>
      <c r="BD118" s="395"/>
      <c r="BE118" s="395"/>
      <c r="BF118" s="395"/>
      <c r="BG118" s="395"/>
      <c r="BH118" s="395"/>
      <c r="BI118" s="343"/>
      <c r="BJ118" s="357"/>
      <c r="BK118" s="357"/>
      <c r="BL118" s="357"/>
      <c r="BM118" s="357"/>
      <c r="BN118" s="357"/>
      <c r="BO118" s="357"/>
      <c r="BP118" s="357"/>
      <c r="BQ118" s="359"/>
      <c r="BR118" s="359"/>
      <c r="BS118" s="359"/>
      <c r="BT118" s="359"/>
      <c r="BU118" s="359"/>
      <c r="BV118" s="359"/>
      <c r="BW118" s="359"/>
      <c r="BX118" s="359"/>
      <c r="BY118" s="359"/>
      <c r="BZ118" s="359"/>
      <c r="CA118" s="359"/>
      <c r="CB118" s="359"/>
      <c r="CC118" s="359"/>
      <c r="CD118" s="359"/>
      <c r="CE118" s="359"/>
      <c r="CF118" s="359"/>
      <c r="CG118" s="359"/>
      <c r="CH118" s="359"/>
      <c r="CI118" s="359"/>
      <c r="CJ118" s="359"/>
      <c r="CK118" s="359"/>
      <c r="CL118" s="359"/>
      <c r="CM118" s="359"/>
      <c r="CN118" s="359"/>
      <c r="CO118" s="359"/>
      <c r="CP118" s="359"/>
      <c r="CQ118" s="359"/>
      <c r="CR118" s="359"/>
      <c r="CS118" s="359"/>
      <c r="CT118" s="359"/>
      <c r="CU118" s="359"/>
      <c r="CV118" s="359"/>
      <c r="CW118" s="359"/>
      <c r="CX118" s="359"/>
      <c r="CY118" s="359"/>
      <c r="CZ118" s="359"/>
      <c r="DA118" s="359"/>
      <c r="DB118" s="359"/>
      <c r="DC118" s="359"/>
      <c r="DD118" s="359"/>
      <c r="DE118" s="359"/>
      <c r="DF118" s="359"/>
      <c r="DG118" s="359"/>
      <c r="DH118" s="359"/>
      <c r="DI118" s="359"/>
      <c r="DJ118" s="359"/>
      <c r="DK118" s="359"/>
      <c r="DL118" s="359"/>
      <c r="DM118" s="359"/>
      <c r="DN118" s="408"/>
      <c r="DO118" s="408"/>
      <c r="DP118" s="408"/>
      <c r="DQ118" s="408"/>
      <c r="DR118" s="408"/>
      <c r="DS118" s="408"/>
      <c r="DT118" s="408"/>
      <c r="DU118" s="408"/>
      <c r="DV118" s="408"/>
      <c r="DW118" s="408"/>
      <c r="DX118" s="408"/>
      <c r="DY118" s="408"/>
      <c r="DZ118" s="408"/>
      <c r="EA118" s="359"/>
      <c r="EB118" s="359"/>
      <c r="EC118" s="359"/>
      <c r="ED118" s="359"/>
      <c r="EE118" s="359"/>
      <c r="EF118" s="359"/>
      <c r="EG118" s="359"/>
      <c r="EH118" s="359"/>
      <c r="EI118" s="359"/>
      <c r="EJ118" s="359"/>
      <c r="EK118" s="359"/>
      <c r="EL118" s="359"/>
      <c r="EM118" s="359"/>
      <c r="EN118" s="359"/>
      <c r="EO118" s="359"/>
      <c r="EP118" s="360"/>
      <c r="EQ118" s="360"/>
      <c r="ER118" s="360"/>
      <c r="ES118" s="360"/>
      <c r="ET118" s="360"/>
      <c r="EU118" s="360"/>
      <c r="EV118" s="360"/>
      <c r="EW118" s="360"/>
      <c r="EX118" s="360"/>
      <c r="EY118" s="360"/>
      <c r="EZ118" s="360"/>
      <c r="FA118" s="360"/>
      <c r="FB118" s="360"/>
      <c r="FC118" s="360"/>
      <c r="FD118" s="360"/>
      <c r="FE118" s="360"/>
      <c r="FF118" s="360"/>
      <c r="FG118" s="360"/>
      <c r="FH118" s="352"/>
      <c r="FI118" s="352"/>
      <c r="FJ118" s="352"/>
      <c r="FK118" s="352"/>
      <c r="FL118" s="352"/>
      <c r="FM118" s="352"/>
      <c r="FN118" s="352"/>
      <c r="FO118" s="345"/>
      <c r="FP118" s="345"/>
      <c r="FQ118" s="345"/>
      <c r="FR118" s="345"/>
      <c r="FS118" s="345"/>
    </row>
    <row r="119" spans="1:175" s="112" customFormat="1" ht="16.5" hidden="1" customHeight="1" x14ac:dyDescent="0.25">
      <c r="A119" s="10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2"/>
      <c r="X119" s="12"/>
      <c r="Y119" s="12"/>
      <c r="Z119" s="12"/>
      <c r="AA119" s="105"/>
      <c r="AB119" s="100"/>
      <c r="AC119" s="100"/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100"/>
      <c r="AQ119" s="100"/>
      <c r="AR119" s="100"/>
      <c r="AS119" s="100"/>
      <c r="AT119" s="100"/>
      <c r="AU119" s="100"/>
      <c r="AV119" s="100"/>
      <c r="AW119" s="109"/>
      <c r="AX119" s="100"/>
      <c r="AY119" s="130"/>
      <c r="AZ119" s="346"/>
      <c r="BA119" s="343"/>
      <c r="BB119" s="389"/>
      <c r="BC119" s="395"/>
      <c r="BD119" s="395"/>
      <c r="BE119" s="395"/>
      <c r="BF119" s="395"/>
      <c r="BG119" s="395"/>
      <c r="BH119" s="395"/>
      <c r="BI119" s="343"/>
      <c r="BJ119" s="357"/>
      <c r="BK119" s="357"/>
      <c r="BL119" s="357"/>
      <c r="BM119" s="357"/>
      <c r="BN119" s="357"/>
      <c r="BO119" s="357"/>
      <c r="BP119" s="357"/>
      <c r="BQ119" s="359"/>
      <c r="BR119" s="359"/>
      <c r="BS119" s="359"/>
      <c r="BT119" s="359"/>
      <c r="BU119" s="359"/>
      <c r="BV119" s="359"/>
      <c r="BW119" s="359"/>
      <c r="BX119" s="359"/>
      <c r="BY119" s="359"/>
      <c r="BZ119" s="359"/>
      <c r="CA119" s="359"/>
      <c r="CB119" s="359"/>
      <c r="CC119" s="359"/>
      <c r="CD119" s="359"/>
      <c r="CE119" s="359"/>
      <c r="CF119" s="359"/>
      <c r="CG119" s="359"/>
      <c r="CH119" s="359"/>
      <c r="CI119" s="359"/>
      <c r="CJ119" s="359"/>
      <c r="CK119" s="359"/>
      <c r="CL119" s="359"/>
      <c r="CM119" s="359"/>
      <c r="CN119" s="359"/>
      <c r="CO119" s="359"/>
      <c r="CP119" s="359"/>
      <c r="CQ119" s="359"/>
      <c r="CR119" s="359"/>
      <c r="CS119" s="359"/>
      <c r="CT119" s="359"/>
      <c r="CU119" s="359"/>
      <c r="CV119" s="359"/>
      <c r="CW119" s="359"/>
      <c r="CX119" s="359"/>
      <c r="CY119" s="359"/>
      <c r="CZ119" s="359"/>
      <c r="DA119" s="359"/>
      <c r="DB119" s="359"/>
      <c r="DC119" s="359"/>
      <c r="DD119" s="359"/>
      <c r="DE119" s="359"/>
      <c r="DF119" s="359"/>
      <c r="DG119" s="359"/>
      <c r="DH119" s="359"/>
      <c r="DI119" s="359"/>
      <c r="DJ119" s="359"/>
      <c r="DK119" s="359"/>
      <c r="DL119" s="359"/>
      <c r="DM119" s="359"/>
      <c r="DN119" s="408"/>
      <c r="DO119" s="408"/>
      <c r="DP119" s="408"/>
      <c r="DQ119" s="408"/>
      <c r="DR119" s="408"/>
      <c r="DS119" s="408"/>
      <c r="DT119" s="408"/>
      <c r="DU119" s="408"/>
      <c r="DV119" s="408"/>
      <c r="DW119" s="408"/>
      <c r="DX119" s="408"/>
      <c r="DY119" s="408"/>
      <c r="DZ119" s="408"/>
      <c r="EA119" s="359"/>
      <c r="EB119" s="359"/>
      <c r="EC119" s="359"/>
      <c r="ED119" s="359"/>
      <c r="EE119" s="359"/>
      <c r="EF119" s="359"/>
      <c r="EG119" s="359"/>
      <c r="EH119" s="359"/>
      <c r="EI119" s="359"/>
      <c r="EJ119" s="359"/>
      <c r="EK119" s="359"/>
      <c r="EL119" s="359"/>
      <c r="EM119" s="359"/>
      <c r="EN119" s="359"/>
      <c r="EO119" s="359"/>
      <c r="EP119" s="360"/>
      <c r="EQ119" s="360"/>
      <c r="ER119" s="360"/>
      <c r="ES119" s="360"/>
      <c r="ET119" s="360"/>
      <c r="EU119" s="360"/>
      <c r="EV119" s="360"/>
      <c r="EW119" s="360"/>
      <c r="EX119" s="360"/>
      <c r="EY119" s="360"/>
      <c r="EZ119" s="360"/>
      <c r="FA119" s="360"/>
      <c r="FB119" s="360"/>
      <c r="FC119" s="360"/>
      <c r="FD119" s="360"/>
      <c r="FE119" s="360"/>
      <c r="FF119" s="360"/>
      <c r="FG119" s="360"/>
      <c r="FH119" s="352"/>
      <c r="FI119" s="352"/>
      <c r="FJ119" s="352"/>
      <c r="FK119" s="352"/>
      <c r="FL119" s="352"/>
      <c r="FM119" s="352"/>
      <c r="FN119" s="352"/>
      <c r="FO119" s="345"/>
      <c r="FP119" s="345"/>
      <c r="FQ119" s="345"/>
      <c r="FR119" s="345"/>
      <c r="FS119" s="345"/>
    </row>
    <row r="120" spans="1:175" s="112" customFormat="1" ht="16.5" hidden="1" customHeight="1" x14ac:dyDescent="0.25">
      <c r="A120" s="10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2"/>
      <c r="X120" s="12"/>
      <c r="Y120" s="12"/>
      <c r="Z120" s="12"/>
      <c r="AA120" s="105"/>
      <c r="AB120" s="100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100"/>
      <c r="AQ120" s="100"/>
      <c r="AR120" s="100"/>
      <c r="AS120" s="100"/>
      <c r="AT120" s="100"/>
      <c r="AU120" s="100"/>
      <c r="AV120" s="100"/>
      <c r="AW120" s="109"/>
      <c r="AX120" s="100"/>
      <c r="AY120" s="130"/>
      <c r="AZ120" s="346"/>
      <c r="BA120" s="343"/>
      <c r="BB120" s="389"/>
      <c r="BC120" s="395"/>
      <c r="BD120" s="395"/>
      <c r="BE120" s="395"/>
      <c r="BF120" s="395"/>
      <c r="BG120" s="395"/>
      <c r="BH120" s="395"/>
      <c r="BI120" s="343"/>
      <c r="BJ120" s="357"/>
      <c r="BK120" s="357"/>
      <c r="BL120" s="357"/>
      <c r="BM120" s="357"/>
      <c r="BN120" s="357"/>
      <c r="BO120" s="357"/>
      <c r="BP120" s="357"/>
      <c r="BQ120" s="359"/>
      <c r="BR120" s="359"/>
      <c r="BS120" s="359"/>
      <c r="BT120" s="359"/>
      <c r="BU120" s="359"/>
      <c r="BV120" s="359"/>
      <c r="BW120" s="359"/>
      <c r="BX120" s="359"/>
      <c r="BY120" s="359"/>
      <c r="BZ120" s="359"/>
      <c r="CA120" s="359"/>
      <c r="CB120" s="359"/>
      <c r="CC120" s="359"/>
      <c r="CD120" s="359"/>
      <c r="CE120" s="359"/>
      <c r="CF120" s="359"/>
      <c r="CG120" s="359"/>
      <c r="CH120" s="359"/>
      <c r="CI120" s="359"/>
      <c r="CJ120" s="359"/>
      <c r="CK120" s="359"/>
      <c r="CL120" s="359"/>
      <c r="CM120" s="359"/>
      <c r="CN120" s="359"/>
      <c r="CO120" s="359"/>
      <c r="CP120" s="359"/>
      <c r="CQ120" s="359"/>
      <c r="CR120" s="359"/>
      <c r="CS120" s="359"/>
      <c r="CT120" s="359"/>
      <c r="CU120" s="359"/>
      <c r="CV120" s="359"/>
      <c r="CW120" s="359"/>
      <c r="CX120" s="359"/>
      <c r="CY120" s="359"/>
      <c r="CZ120" s="359"/>
      <c r="DA120" s="359"/>
      <c r="DB120" s="359"/>
      <c r="DC120" s="359"/>
      <c r="DD120" s="359"/>
      <c r="DE120" s="359"/>
      <c r="DF120" s="359"/>
      <c r="DG120" s="359"/>
      <c r="DH120" s="359"/>
      <c r="DI120" s="359"/>
      <c r="DJ120" s="359"/>
      <c r="DK120" s="359"/>
      <c r="DL120" s="359"/>
      <c r="DM120" s="359"/>
      <c r="DN120" s="408"/>
      <c r="DO120" s="408"/>
      <c r="DP120" s="408"/>
      <c r="DQ120" s="408"/>
      <c r="DR120" s="408"/>
      <c r="DS120" s="408"/>
      <c r="DT120" s="408"/>
      <c r="DU120" s="408"/>
      <c r="DV120" s="408"/>
      <c r="DW120" s="408"/>
      <c r="DX120" s="408"/>
      <c r="DY120" s="408"/>
      <c r="DZ120" s="408"/>
      <c r="EA120" s="359"/>
      <c r="EB120" s="359"/>
      <c r="EC120" s="359"/>
      <c r="ED120" s="359"/>
      <c r="EE120" s="359"/>
      <c r="EF120" s="359"/>
      <c r="EG120" s="359"/>
      <c r="EH120" s="359"/>
      <c r="EI120" s="359"/>
      <c r="EJ120" s="359"/>
      <c r="EK120" s="359"/>
      <c r="EL120" s="359"/>
      <c r="EM120" s="359"/>
      <c r="EN120" s="359"/>
      <c r="EO120" s="359"/>
      <c r="EP120" s="360"/>
      <c r="EQ120" s="360"/>
      <c r="ER120" s="360"/>
      <c r="ES120" s="360"/>
      <c r="ET120" s="360"/>
      <c r="EU120" s="360"/>
      <c r="EV120" s="360"/>
      <c r="EW120" s="360"/>
      <c r="EX120" s="360"/>
      <c r="EY120" s="360"/>
      <c r="EZ120" s="360"/>
      <c r="FA120" s="360"/>
      <c r="FB120" s="360"/>
      <c r="FC120" s="360"/>
      <c r="FD120" s="360"/>
      <c r="FE120" s="360"/>
      <c r="FF120" s="360"/>
      <c r="FG120" s="360"/>
      <c r="FH120" s="352"/>
      <c r="FI120" s="352"/>
      <c r="FJ120" s="352"/>
      <c r="FK120" s="352"/>
      <c r="FL120" s="352"/>
      <c r="FM120" s="352"/>
      <c r="FN120" s="352"/>
      <c r="FO120" s="345"/>
      <c r="FP120" s="345"/>
      <c r="FQ120" s="345"/>
      <c r="FR120" s="345"/>
      <c r="FS120" s="345"/>
    </row>
    <row r="121" spans="1:175" s="112" customFormat="1" ht="16.5" hidden="1" customHeight="1" x14ac:dyDescent="0.25">
      <c r="A121" s="10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2"/>
      <c r="X121" s="12"/>
      <c r="Y121" s="12"/>
      <c r="Z121" s="12"/>
      <c r="AA121" s="105"/>
      <c r="AB121" s="100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9"/>
      <c r="AX121" s="100"/>
      <c r="AY121" s="130"/>
      <c r="AZ121" s="346"/>
      <c r="BA121" s="343"/>
      <c r="BB121" s="389"/>
      <c r="BC121" s="395"/>
      <c r="BD121" s="395"/>
      <c r="BE121" s="395"/>
      <c r="BF121" s="395"/>
      <c r="BG121" s="395"/>
      <c r="BH121" s="395"/>
      <c r="BI121" s="343"/>
      <c r="BJ121" s="357"/>
      <c r="BK121" s="357"/>
      <c r="BL121" s="357"/>
      <c r="BM121" s="357"/>
      <c r="BN121" s="357"/>
      <c r="BO121" s="357"/>
      <c r="BP121" s="357"/>
      <c r="BQ121" s="359"/>
      <c r="BR121" s="359"/>
      <c r="BS121" s="359"/>
      <c r="BT121" s="359"/>
      <c r="BU121" s="359"/>
      <c r="BV121" s="359"/>
      <c r="BW121" s="359"/>
      <c r="BX121" s="359"/>
      <c r="BY121" s="359"/>
      <c r="BZ121" s="359"/>
      <c r="CA121" s="359"/>
      <c r="CB121" s="359"/>
      <c r="CC121" s="359"/>
      <c r="CD121" s="359"/>
      <c r="CE121" s="359"/>
      <c r="CF121" s="359"/>
      <c r="CG121" s="359"/>
      <c r="CH121" s="359"/>
      <c r="CI121" s="359"/>
      <c r="CJ121" s="359"/>
      <c r="CK121" s="359"/>
      <c r="CL121" s="359"/>
      <c r="CM121" s="359"/>
      <c r="CN121" s="359"/>
      <c r="CO121" s="359"/>
      <c r="CP121" s="359"/>
      <c r="CQ121" s="359"/>
      <c r="CR121" s="359"/>
      <c r="CS121" s="359"/>
      <c r="CT121" s="359"/>
      <c r="CU121" s="359"/>
      <c r="CV121" s="359"/>
      <c r="CW121" s="359"/>
      <c r="CX121" s="359"/>
      <c r="CY121" s="359"/>
      <c r="CZ121" s="359"/>
      <c r="DA121" s="359"/>
      <c r="DB121" s="359"/>
      <c r="DC121" s="359"/>
      <c r="DD121" s="359"/>
      <c r="DE121" s="359"/>
      <c r="DF121" s="359"/>
      <c r="DG121" s="359"/>
      <c r="DH121" s="359"/>
      <c r="DI121" s="359"/>
      <c r="DJ121" s="359"/>
      <c r="DK121" s="359"/>
      <c r="DL121" s="359"/>
      <c r="DM121" s="359"/>
      <c r="DN121" s="408"/>
      <c r="DO121" s="408"/>
      <c r="DP121" s="408"/>
      <c r="DQ121" s="408"/>
      <c r="DR121" s="408"/>
      <c r="DS121" s="408"/>
      <c r="DT121" s="408"/>
      <c r="DU121" s="408"/>
      <c r="DV121" s="408"/>
      <c r="DW121" s="408"/>
      <c r="DX121" s="408"/>
      <c r="DY121" s="408"/>
      <c r="DZ121" s="408"/>
      <c r="EA121" s="359"/>
      <c r="EB121" s="359"/>
      <c r="EC121" s="359"/>
      <c r="ED121" s="359"/>
      <c r="EE121" s="359"/>
      <c r="EF121" s="359"/>
      <c r="EG121" s="359"/>
      <c r="EH121" s="359"/>
      <c r="EI121" s="359"/>
      <c r="EJ121" s="359"/>
      <c r="EK121" s="359"/>
      <c r="EL121" s="359"/>
      <c r="EM121" s="359"/>
      <c r="EN121" s="359"/>
      <c r="EO121" s="359"/>
      <c r="EP121" s="360"/>
      <c r="EQ121" s="360"/>
      <c r="ER121" s="360"/>
      <c r="ES121" s="360"/>
      <c r="ET121" s="360"/>
      <c r="EU121" s="360"/>
      <c r="EV121" s="360"/>
      <c r="EW121" s="360"/>
      <c r="EX121" s="360"/>
      <c r="EY121" s="360"/>
      <c r="EZ121" s="360"/>
      <c r="FA121" s="360"/>
      <c r="FB121" s="360"/>
      <c r="FC121" s="360"/>
      <c r="FD121" s="360"/>
      <c r="FE121" s="360"/>
      <c r="FF121" s="360"/>
      <c r="FG121" s="360"/>
      <c r="FH121" s="352"/>
      <c r="FI121" s="352"/>
      <c r="FJ121" s="352"/>
      <c r="FK121" s="352"/>
      <c r="FL121" s="352"/>
      <c r="FM121" s="352"/>
      <c r="FN121" s="352"/>
      <c r="FO121" s="345"/>
      <c r="FP121" s="345"/>
      <c r="FQ121" s="345"/>
      <c r="FR121" s="345"/>
      <c r="FS121" s="345"/>
    </row>
    <row r="122" spans="1:175" s="112" customFormat="1" ht="16.5" hidden="1" customHeight="1" x14ac:dyDescent="0.25">
      <c r="A122" s="10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2"/>
      <c r="X122" s="12"/>
      <c r="Y122" s="12"/>
      <c r="Z122" s="12"/>
      <c r="AA122" s="105"/>
      <c r="AB122" s="100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100"/>
      <c r="AQ122" s="100"/>
      <c r="AR122" s="100"/>
      <c r="AS122" s="100"/>
      <c r="AT122" s="100"/>
      <c r="AU122" s="100"/>
      <c r="AV122" s="100"/>
      <c r="AW122" s="109"/>
      <c r="AX122" s="100"/>
      <c r="AY122" s="130"/>
      <c r="AZ122" s="346"/>
      <c r="BA122" s="343"/>
      <c r="BB122" s="389"/>
      <c r="BC122" s="395"/>
      <c r="BD122" s="395"/>
      <c r="BE122" s="395"/>
      <c r="BF122" s="395"/>
      <c r="BG122" s="395"/>
      <c r="BH122" s="395"/>
      <c r="BI122" s="343"/>
      <c r="BJ122" s="357"/>
      <c r="BK122" s="357"/>
      <c r="BL122" s="357"/>
      <c r="BM122" s="357"/>
      <c r="BN122" s="357"/>
      <c r="BO122" s="357"/>
      <c r="BP122" s="357"/>
      <c r="BQ122" s="359"/>
      <c r="BR122" s="359"/>
      <c r="BS122" s="359"/>
      <c r="BT122" s="359"/>
      <c r="BU122" s="359"/>
      <c r="BV122" s="359"/>
      <c r="BW122" s="359"/>
      <c r="BX122" s="359"/>
      <c r="BY122" s="359"/>
      <c r="BZ122" s="359"/>
      <c r="CA122" s="359"/>
      <c r="CB122" s="359"/>
      <c r="CC122" s="359"/>
      <c r="CD122" s="359"/>
      <c r="CE122" s="359"/>
      <c r="CF122" s="359"/>
      <c r="CG122" s="359"/>
      <c r="CH122" s="359"/>
      <c r="CI122" s="359"/>
      <c r="CJ122" s="359"/>
      <c r="CK122" s="359"/>
      <c r="CL122" s="359"/>
      <c r="CM122" s="359"/>
      <c r="CN122" s="359"/>
      <c r="CO122" s="359"/>
      <c r="CP122" s="359"/>
      <c r="CQ122" s="359"/>
      <c r="CR122" s="359"/>
      <c r="CS122" s="359"/>
      <c r="CT122" s="359"/>
      <c r="CU122" s="359"/>
      <c r="CV122" s="359"/>
      <c r="CW122" s="359"/>
      <c r="CX122" s="359"/>
      <c r="CY122" s="359"/>
      <c r="CZ122" s="359"/>
      <c r="DA122" s="359"/>
      <c r="DB122" s="359"/>
      <c r="DC122" s="359"/>
      <c r="DD122" s="359"/>
      <c r="DE122" s="359"/>
      <c r="DF122" s="359"/>
      <c r="DG122" s="359"/>
      <c r="DH122" s="359"/>
      <c r="DI122" s="359"/>
      <c r="DJ122" s="359"/>
      <c r="DK122" s="359"/>
      <c r="DL122" s="359"/>
      <c r="DM122" s="359"/>
      <c r="DN122" s="408"/>
      <c r="DO122" s="408"/>
      <c r="DP122" s="408"/>
      <c r="DQ122" s="408"/>
      <c r="DR122" s="408"/>
      <c r="DS122" s="408"/>
      <c r="DT122" s="408"/>
      <c r="DU122" s="408"/>
      <c r="DV122" s="408"/>
      <c r="DW122" s="408"/>
      <c r="DX122" s="408"/>
      <c r="DY122" s="408"/>
      <c r="DZ122" s="408"/>
      <c r="EA122" s="359"/>
      <c r="EB122" s="359"/>
      <c r="EC122" s="359"/>
      <c r="ED122" s="359"/>
      <c r="EE122" s="359"/>
      <c r="EF122" s="359"/>
      <c r="EG122" s="359"/>
      <c r="EH122" s="359"/>
      <c r="EI122" s="359"/>
      <c r="EJ122" s="359"/>
      <c r="EK122" s="359"/>
      <c r="EL122" s="359"/>
      <c r="EM122" s="359"/>
      <c r="EN122" s="359"/>
      <c r="EO122" s="359"/>
      <c r="EP122" s="360"/>
      <c r="EQ122" s="360"/>
      <c r="ER122" s="360"/>
      <c r="ES122" s="360"/>
      <c r="ET122" s="360"/>
      <c r="EU122" s="360"/>
      <c r="EV122" s="360"/>
      <c r="EW122" s="360"/>
      <c r="EX122" s="360"/>
      <c r="EY122" s="360"/>
      <c r="EZ122" s="360"/>
      <c r="FA122" s="360"/>
      <c r="FB122" s="360"/>
      <c r="FC122" s="360"/>
      <c r="FD122" s="360"/>
      <c r="FE122" s="360"/>
      <c r="FF122" s="360"/>
      <c r="FG122" s="360"/>
      <c r="FH122" s="352"/>
      <c r="FI122" s="352"/>
      <c r="FJ122" s="352"/>
      <c r="FK122" s="352"/>
      <c r="FL122" s="352"/>
      <c r="FM122" s="352"/>
      <c r="FN122" s="352"/>
      <c r="FO122" s="345"/>
      <c r="FP122" s="345"/>
      <c r="FQ122" s="345"/>
      <c r="FR122" s="345"/>
      <c r="FS122" s="345"/>
    </row>
    <row r="123" spans="1:175" s="112" customFormat="1" ht="16.5" hidden="1" customHeight="1" x14ac:dyDescent="0.25">
      <c r="A123" s="10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2"/>
      <c r="X123" s="12"/>
      <c r="Y123" s="12"/>
      <c r="Z123" s="12"/>
      <c r="AA123" s="105"/>
      <c r="AB123" s="100"/>
      <c r="AC123" s="100"/>
      <c r="AD123" s="100"/>
      <c r="AE123" s="100"/>
      <c r="AF123" s="100"/>
      <c r="AG123" s="100"/>
      <c r="AH123" s="100"/>
      <c r="AI123" s="100"/>
      <c r="AJ123" s="100"/>
      <c r="AK123" s="100"/>
      <c r="AL123" s="100"/>
      <c r="AM123" s="100"/>
      <c r="AN123" s="100"/>
      <c r="AO123" s="100"/>
      <c r="AP123" s="100"/>
      <c r="AQ123" s="100"/>
      <c r="AR123" s="100"/>
      <c r="AS123" s="100"/>
      <c r="AT123" s="100"/>
      <c r="AU123" s="100"/>
      <c r="AV123" s="100"/>
      <c r="AW123" s="109"/>
      <c r="AX123" s="100"/>
      <c r="AY123" s="130"/>
      <c r="AZ123" s="346"/>
      <c r="BA123" s="343"/>
      <c r="BB123" s="389"/>
      <c r="BC123" s="395"/>
      <c r="BD123" s="395"/>
      <c r="BE123" s="395"/>
      <c r="BF123" s="395"/>
      <c r="BG123" s="395"/>
      <c r="BH123" s="395"/>
      <c r="BI123" s="343"/>
      <c r="BJ123" s="357"/>
      <c r="BK123" s="357"/>
      <c r="BL123" s="357"/>
      <c r="BM123" s="357"/>
      <c r="BN123" s="357"/>
      <c r="BO123" s="357"/>
      <c r="BP123" s="357"/>
      <c r="BQ123" s="359"/>
      <c r="BR123" s="359"/>
      <c r="BS123" s="359"/>
      <c r="BT123" s="359"/>
      <c r="BU123" s="359"/>
      <c r="BV123" s="359"/>
      <c r="BW123" s="359"/>
      <c r="BX123" s="359"/>
      <c r="BY123" s="359"/>
      <c r="BZ123" s="359"/>
      <c r="CA123" s="359"/>
      <c r="CB123" s="359"/>
      <c r="CC123" s="359"/>
      <c r="CD123" s="359"/>
      <c r="CE123" s="359"/>
      <c r="CF123" s="359"/>
      <c r="CG123" s="359"/>
      <c r="CH123" s="359"/>
      <c r="CI123" s="359"/>
      <c r="CJ123" s="359"/>
      <c r="CK123" s="359"/>
      <c r="CL123" s="359"/>
      <c r="CM123" s="359"/>
      <c r="CN123" s="359"/>
      <c r="CO123" s="359"/>
      <c r="CP123" s="359"/>
      <c r="CQ123" s="359"/>
      <c r="CR123" s="359"/>
      <c r="CS123" s="359"/>
      <c r="CT123" s="359"/>
      <c r="CU123" s="359"/>
      <c r="CV123" s="359"/>
      <c r="CW123" s="359"/>
      <c r="CX123" s="359"/>
      <c r="CY123" s="359"/>
      <c r="CZ123" s="359"/>
      <c r="DA123" s="359"/>
      <c r="DB123" s="359"/>
      <c r="DC123" s="359"/>
      <c r="DD123" s="359"/>
      <c r="DE123" s="359"/>
      <c r="DF123" s="359"/>
      <c r="DG123" s="359"/>
      <c r="DH123" s="359"/>
      <c r="DI123" s="359"/>
      <c r="DJ123" s="359"/>
      <c r="DK123" s="359"/>
      <c r="DL123" s="359"/>
      <c r="DM123" s="359"/>
      <c r="DN123" s="408"/>
      <c r="DO123" s="408"/>
      <c r="DP123" s="408"/>
      <c r="DQ123" s="408"/>
      <c r="DR123" s="408"/>
      <c r="DS123" s="408"/>
      <c r="DT123" s="408"/>
      <c r="DU123" s="408"/>
      <c r="DV123" s="408"/>
      <c r="DW123" s="408"/>
      <c r="DX123" s="408"/>
      <c r="DY123" s="408"/>
      <c r="DZ123" s="408"/>
      <c r="EA123" s="359"/>
      <c r="EB123" s="359"/>
      <c r="EC123" s="359"/>
      <c r="ED123" s="359"/>
      <c r="EE123" s="359"/>
      <c r="EF123" s="359"/>
      <c r="EG123" s="359"/>
      <c r="EH123" s="359"/>
      <c r="EI123" s="359"/>
      <c r="EJ123" s="359"/>
      <c r="EK123" s="359"/>
      <c r="EL123" s="359"/>
      <c r="EM123" s="359"/>
      <c r="EN123" s="359"/>
      <c r="EO123" s="359"/>
      <c r="EP123" s="360"/>
      <c r="EQ123" s="360"/>
      <c r="ER123" s="360"/>
      <c r="ES123" s="360"/>
      <c r="ET123" s="360"/>
      <c r="EU123" s="360"/>
      <c r="EV123" s="360"/>
      <c r="EW123" s="360"/>
      <c r="EX123" s="360"/>
      <c r="EY123" s="360"/>
      <c r="EZ123" s="360"/>
      <c r="FA123" s="360"/>
      <c r="FB123" s="360"/>
      <c r="FC123" s="360"/>
      <c r="FD123" s="360"/>
      <c r="FE123" s="360"/>
      <c r="FF123" s="360"/>
      <c r="FG123" s="360"/>
      <c r="FH123" s="352"/>
      <c r="FI123" s="352"/>
      <c r="FJ123" s="352"/>
      <c r="FK123" s="352"/>
      <c r="FL123" s="352"/>
      <c r="FM123" s="352"/>
      <c r="FN123" s="352"/>
      <c r="FO123" s="345"/>
      <c r="FP123" s="345"/>
      <c r="FQ123" s="345"/>
      <c r="FR123" s="345"/>
      <c r="FS123" s="345"/>
    </row>
    <row r="124" spans="1:175" s="112" customFormat="1" ht="16.5" hidden="1" customHeight="1" x14ac:dyDescent="0.25">
      <c r="A124" s="10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2"/>
      <c r="X124" s="12"/>
      <c r="Y124" s="12"/>
      <c r="Z124" s="12"/>
      <c r="AA124" s="105"/>
      <c r="AB124" s="100"/>
      <c r="AC124" s="100"/>
      <c r="AD124" s="100"/>
      <c r="AE124" s="100"/>
      <c r="AF124" s="100"/>
      <c r="AG124" s="100"/>
      <c r="AH124" s="100"/>
      <c r="AI124" s="100"/>
      <c r="AJ124" s="100"/>
      <c r="AK124" s="100"/>
      <c r="AL124" s="100"/>
      <c r="AM124" s="100"/>
      <c r="AN124" s="100"/>
      <c r="AO124" s="100"/>
      <c r="AP124" s="100"/>
      <c r="AQ124" s="100"/>
      <c r="AR124" s="100"/>
      <c r="AS124" s="100"/>
      <c r="AT124" s="100"/>
      <c r="AU124" s="100"/>
      <c r="AV124" s="100"/>
      <c r="AW124" s="109"/>
      <c r="AX124" s="100"/>
      <c r="AY124" s="130"/>
      <c r="AZ124" s="346"/>
      <c r="BA124" s="343"/>
      <c r="BB124" s="389"/>
      <c r="BC124" s="395"/>
      <c r="BD124" s="395"/>
      <c r="BE124" s="395"/>
      <c r="BF124" s="395"/>
      <c r="BG124" s="395"/>
      <c r="BH124" s="395"/>
      <c r="BI124" s="343"/>
      <c r="BJ124" s="357"/>
      <c r="BK124" s="357"/>
      <c r="BL124" s="357"/>
      <c r="BM124" s="357"/>
      <c r="BN124" s="357"/>
      <c r="BO124" s="357"/>
      <c r="BP124" s="357"/>
      <c r="BQ124" s="359"/>
      <c r="BR124" s="359"/>
      <c r="BS124" s="359"/>
      <c r="BT124" s="359"/>
      <c r="BU124" s="359"/>
      <c r="BV124" s="359"/>
      <c r="BW124" s="359"/>
      <c r="BX124" s="359"/>
      <c r="BY124" s="359"/>
      <c r="BZ124" s="359"/>
      <c r="CA124" s="359"/>
      <c r="CB124" s="359"/>
      <c r="CC124" s="359"/>
      <c r="CD124" s="359"/>
      <c r="CE124" s="359"/>
      <c r="CF124" s="359"/>
      <c r="CG124" s="359"/>
      <c r="CH124" s="359"/>
      <c r="CI124" s="359"/>
      <c r="CJ124" s="359"/>
      <c r="CK124" s="359"/>
      <c r="CL124" s="359"/>
      <c r="CM124" s="359"/>
      <c r="CN124" s="359"/>
      <c r="CO124" s="359"/>
      <c r="CP124" s="359"/>
      <c r="CQ124" s="359"/>
      <c r="CR124" s="359"/>
      <c r="CS124" s="359"/>
      <c r="CT124" s="359"/>
      <c r="CU124" s="359"/>
      <c r="CV124" s="359"/>
      <c r="CW124" s="359"/>
      <c r="CX124" s="359"/>
      <c r="CY124" s="359"/>
      <c r="CZ124" s="359"/>
      <c r="DA124" s="359"/>
      <c r="DB124" s="359"/>
      <c r="DC124" s="359"/>
      <c r="DD124" s="359"/>
      <c r="DE124" s="359"/>
      <c r="DF124" s="359"/>
      <c r="DG124" s="359"/>
      <c r="DH124" s="359"/>
      <c r="DI124" s="359"/>
      <c r="DJ124" s="359"/>
      <c r="DK124" s="359"/>
      <c r="DL124" s="359"/>
      <c r="DM124" s="359"/>
      <c r="DN124" s="408"/>
      <c r="DO124" s="408"/>
      <c r="DP124" s="408"/>
      <c r="DQ124" s="408"/>
      <c r="DR124" s="408"/>
      <c r="DS124" s="408"/>
      <c r="DT124" s="408"/>
      <c r="DU124" s="408"/>
      <c r="DV124" s="408"/>
      <c r="DW124" s="408"/>
      <c r="DX124" s="408"/>
      <c r="DY124" s="408"/>
      <c r="DZ124" s="408"/>
      <c r="EA124" s="359"/>
      <c r="EB124" s="359"/>
      <c r="EC124" s="359"/>
      <c r="ED124" s="359"/>
      <c r="EE124" s="359"/>
      <c r="EF124" s="359"/>
      <c r="EG124" s="359"/>
      <c r="EH124" s="359"/>
      <c r="EI124" s="359"/>
      <c r="EJ124" s="359"/>
      <c r="EK124" s="359"/>
      <c r="EL124" s="359"/>
      <c r="EM124" s="359"/>
      <c r="EN124" s="359"/>
      <c r="EO124" s="359"/>
      <c r="EP124" s="360"/>
      <c r="EQ124" s="360"/>
      <c r="ER124" s="360"/>
      <c r="ES124" s="360"/>
      <c r="ET124" s="360"/>
      <c r="EU124" s="360"/>
      <c r="EV124" s="360"/>
      <c r="EW124" s="360"/>
      <c r="EX124" s="360"/>
      <c r="EY124" s="360"/>
      <c r="EZ124" s="360"/>
      <c r="FA124" s="360"/>
      <c r="FB124" s="360"/>
      <c r="FC124" s="360"/>
      <c r="FD124" s="360"/>
      <c r="FE124" s="360"/>
      <c r="FF124" s="360"/>
      <c r="FG124" s="360"/>
      <c r="FH124" s="352"/>
      <c r="FI124" s="352"/>
      <c r="FJ124" s="352"/>
      <c r="FK124" s="352"/>
      <c r="FL124" s="352"/>
      <c r="FM124" s="352"/>
      <c r="FN124" s="352"/>
      <c r="FO124" s="345"/>
      <c r="FP124" s="345"/>
      <c r="FQ124" s="345"/>
      <c r="FR124" s="345"/>
      <c r="FS124" s="345"/>
    </row>
    <row r="125" spans="1:175" s="112" customFormat="1" ht="16.5" hidden="1" customHeight="1" x14ac:dyDescent="0.25">
      <c r="A125" s="10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2"/>
      <c r="X125" s="12"/>
      <c r="Y125" s="12"/>
      <c r="Z125" s="12"/>
      <c r="AA125" s="105"/>
      <c r="AB125" s="100"/>
      <c r="AC125" s="100"/>
      <c r="AD125" s="100"/>
      <c r="AE125" s="100"/>
      <c r="AF125" s="100"/>
      <c r="AG125" s="100"/>
      <c r="AH125" s="100"/>
      <c r="AI125" s="100"/>
      <c r="AJ125" s="100"/>
      <c r="AK125" s="100"/>
      <c r="AL125" s="100"/>
      <c r="AM125" s="100"/>
      <c r="AN125" s="100"/>
      <c r="AO125" s="100"/>
      <c r="AP125" s="100"/>
      <c r="AQ125" s="100"/>
      <c r="AR125" s="100"/>
      <c r="AS125" s="100"/>
      <c r="AT125" s="100"/>
      <c r="AU125" s="100"/>
      <c r="AV125" s="100"/>
      <c r="AW125" s="109"/>
      <c r="AX125" s="100"/>
      <c r="AY125" s="130"/>
      <c r="AZ125" s="346"/>
      <c r="BA125" s="343"/>
      <c r="BB125" s="389"/>
      <c r="BC125" s="395"/>
      <c r="BD125" s="395"/>
      <c r="BE125" s="395"/>
      <c r="BF125" s="395"/>
      <c r="BG125" s="395"/>
      <c r="BH125" s="395"/>
      <c r="BI125" s="343"/>
      <c r="BJ125" s="357"/>
      <c r="BK125" s="357"/>
      <c r="BL125" s="357"/>
      <c r="BM125" s="357"/>
      <c r="BN125" s="357"/>
      <c r="BO125" s="357"/>
      <c r="BP125" s="357"/>
      <c r="BQ125" s="359"/>
      <c r="BR125" s="359"/>
      <c r="BS125" s="359"/>
      <c r="BT125" s="359"/>
      <c r="BU125" s="359"/>
      <c r="BV125" s="359"/>
      <c r="BW125" s="359"/>
      <c r="BX125" s="359"/>
      <c r="BY125" s="359"/>
      <c r="BZ125" s="359"/>
      <c r="CA125" s="359"/>
      <c r="CB125" s="359"/>
      <c r="CC125" s="359"/>
      <c r="CD125" s="359"/>
      <c r="CE125" s="359"/>
      <c r="CF125" s="359"/>
      <c r="CG125" s="359"/>
      <c r="CH125" s="359"/>
      <c r="CI125" s="359"/>
      <c r="CJ125" s="359"/>
      <c r="CK125" s="359"/>
      <c r="CL125" s="359"/>
      <c r="CM125" s="359"/>
      <c r="CN125" s="359"/>
      <c r="CO125" s="359"/>
      <c r="CP125" s="359"/>
      <c r="CQ125" s="359"/>
      <c r="CR125" s="359"/>
      <c r="CS125" s="359"/>
      <c r="CT125" s="359"/>
      <c r="CU125" s="359"/>
      <c r="CV125" s="359"/>
      <c r="CW125" s="359"/>
      <c r="CX125" s="359"/>
      <c r="CY125" s="359"/>
      <c r="CZ125" s="359"/>
      <c r="DA125" s="359"/>
      <c r="DB125" s="359"/>
      <c r="DC125" s="359"/>
      <c r="DD125" s="359"/>
      <c r="DE125" s="359"/>
      <c r="DF125" s="359"/>
      <c r="DG125" s="359"/>
      <c r="DH125" s="359"/>
      <c r="DI125" s="359"/>
      <c r="DJ125" s="359"/>
      <c r="DK125" s="359"/>
      <c r="DL125" s="359"/>
      <c r="DM125" s="359"/>
      <c r="DN125" s="408"/>
      <c r="DO125" s="408"/>
      <c r="DP125" s="408"/>
      <c r="DQ125" s="408"/>
      <c r="DR125" s="408"/>
      <c r="DS125" s="408"/>
      <c r="DT125" s="408"/>
      <c r="DU125" s="408"/>
      <c r="DV125" s="408"/>
      <c r="DW125" s="408"/>
      <c r="DX125" s="408"/>
      <c r="DY125" s="408"/>
      <c r="DZ125" s="408"/>
      <c r="EA125" s="359"/>
      <c r="EB125" s="359"/>
      <c r="EC125" s="359"/>
      <c r="ED125" s="359"/>
      <c r="EE125" s="359"/>
      <c r="EF125" s="359"/>
      <c r="EG125" s="359"/>
      <c r="EH125" s="359"/>
      <c r="EI125" s="359"/>
      <c r="EJ125" s="359"/>
      <c r="EK125" s="359"/>
      <c r="EL125" s="359"/>
      <c r="EM125" s="359"/>
      <c r="EN125" s="359"/>
      <c r="EO125" s="359"/>
      <c r="EP125" s="360"/>
      <c r="EQ125" s="360"/>
      <c r="ER125" s="360"/>
      <c r="ES125" s="360"/>
      <c r="ET125" s="360"/>
      <c r="EU125" s="360"/>
      <c r="EV125" s="360"/>
      <c r="EW125" s="360"/>
      <c r="EX125" s="360"/>
      <c r="EY125" s="360"/>
      <c r="EZ125" s="360"/>
      <c r="FA125" s="360"/>
      <c r="FB125" s="360"/>
      <c r="FC125" s="360"/>
      <c r="FD125" s="360"/>
      <c r="FE125" s="360"/>
      <c r="FF125" s="360"/>
      <c r="FG125" s="360"/>
      <c r="FH125" s="352"/>
      <c r="FI125" s="352"/>
      <c r="FJ125" s="352"/>
      <c r="FK125" s="352"/>
      <c r="FL125" s="352"/>
      <c r="FM125" s="352"/>
      <c r="FN125" s="352"/>
      <c r="FO125" s="345"/>
      <c r="FP125" s="345"/>
      <c r="FQ125" s="345"/>
      <c r="FR125" s="345"/>
      <c r="FS125" s="345"/>
    </row>
    <row r="126" spans="1:175" s="112" customFormat="1" ht="16.5" hidden="1" customHeight="1" x14ac:dyDescent="0.25">
      <c r="A126" s="10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2"/>
      <c r="X126" s="12"/>
      <c r="Y126" s="12"/>
      <c r="Z126" s="12"/>
      <c r="AA126" s="105"/>
      <c r="AB126" s="100"/>
      <c r="AC126" s="100"/>
      <c r="AD126" s="100"/>
      <c r="AE126" s="100"/>
      <c r="AF126" s="100"/>
      <c r="AG126" s="100"/>
      <c r="AH126" s="100"/>
      <c r="AI126" s="100"/>
      <c r="AJ126" s="100"/>
      <c r="AK126" s="100"/>
      <c r="AL126" s="100"/>
      <c r="AM126" s="100"/>
      <c r="AN126" s="100"/>
      <c r="AO126" s="100"/>
      <c r="AP126" s="100"/>
      <c r="AQ126" s="100"/>
      <c r="AR126" s="100"/>
      <c r="AS126" s="100"/>
      <c r="AT126" s="100"/>
      <c r="AU126" s="100"/>
      <c r="AV126" s="100"/>
      <c r="AW126" s="109"/>
      <c r="AX126" s="100"/>
      <c r="AY126" s="130"/>
      <c r="AZ126" s="346"/>
      <c r="BA126" s="343"/>
      <c r="BB126" s="389"/>
      <c r="BC126" s="395"/>
      <c r="BD126" s="395"/>
      <c r="BE126" s="395"/>
      <c r="BF126" s="395"/>
      <c r="BG126" s="395"/>
      <c r="BH126" s="395"/>
      <c r="BI126" s="343"/>
      <c r="BJ126" s="357"/>
      <c r="BK126" s="357"/>
      <c r="BL126" s="357"/>
      <c r="BM126" s="357"/>
      <c r="BN126" s="357"/>
      <c r="BO126" s="357"/>
      <c r="BP126" s="357"/>
      <c r="BQ126" s="359"/>
      <c r="BR126" s="359"/>
      <c r="BS126" s="359"/>
      <c r="BT126" s="359"/>
      <c r="BU126" s="359"/>
      <c r="BV126" s="359"/>
      <c r="BW126" s="359"/>
      <c r="BX126" s="359"/>
      <c r="BY126" s="359"/>
      <c r="BZ126" s="359"/>
      <c r="CA126" s="359"/>
      <c r="CB126" s="359"/>
      <c r="CC126" s="359"/>
      <c r="CD126" s="359"/>
      <c r="CE126" s="359"/>
      <c r="CF126" s="359"/>
      <c r="CG126" s="359"/>
      <c r="CH126" s="359"/>
      <c r="CI126" s="359"/>
      <c r="CJ126" s="359"/>
      <c r="CK126" s="359"/>
      <c r="CL126" s="359"/>
      <c r="CM126" s="359"/>
      <c r="CN126" s="359"/>
      <c r="CO126" s="359"/>
      <c r="CP126" s="359"/>
      <c r="CQ126" s="359"/>
      <c r="CR126" s="359"/>
      <c r="CS126" s="359"/>
      <c r="CT126" s="359"/>
      <c r="CU126" s="359"/>
      <c r="CV126" s="359"/>
      <c r="CW126" s="359"/>
      <c r="CX126" s="359"/>
      <c r="CY126" s="359"/>
      <c r="CZ126" s="359"/>
      <c r="DA126" s="359"/>
      <c r="DB126" s="359"/>
      <c r="DC126" s="359"/>
      <c r="DD126" s="359"/>
      <c r="DE126" s="359"/>
      <c r="DF126" s="359"/>
      <c r="DG126" s="359"/>
      <c r="DH126" s="359"/>
      <c r="DI126" s="359"/>
      <c r="DJ126" s="359"/>
      <c r="DK126" s="359"/>
      <c r="DL126" s="359"/>
      <c r="DM126" s="359"/>
      <c r="DN126" s="408"/>
      <c r="DO126" s="408"/>
      <c r="DP126" s="408"/>
      <c r="DQ126" s="408"/>
      <c r="DR126" s="408"/>
      <c r="DS126" s="408"/>
      <c r="DT126" s="408"/>
      <c r="DU126" s="408"/>
      <c r="DV126" s="408"/>
      <c r="DW126" s="408"/>
      <c r="DX126" s="408"/>
      <c r="DY126" s="408"/>
      <c r="DZ126" s="408"/>
      <c r="EA126" s="359"/>
      <c r="EB126" s="359"/>
      <c r="EC126" s="359"/>
      <c r="ED126" s="359"/>
      <c r="EE126" s="359"/>
      <c r="EF126" s="359"/>
      <c r="EG126" s="359"/>
      <c r="EH126" s="359"/>
      <c r="EI126" s="359"/>
      <c r="EJ126" s="359"/>
      <c r="EK126" s="359"/>
      <c r="EL126" s="359"/>
      <c r="EM126" s="359"/>
      <c r="EN126" s="359"/>
      <c r="EO126" s="359"/>
      <c r="EP126" s="360"/>
      <c r="EQ126" s="360"/>
      <c r="ER126" s="360"/>
      <c r="ES126" s="360"/>
      <c r="ET126" s="360"/>
      <c r="EU126" s="360"/>
      <c r="EV126" s="360"/>
      <c r="EW126" s="360"/>
      <c r="EX126" s="360"/>
      <c r="EY126" s="360"/>
      <c r="EZ126" s="360"/>
      <c r="FA126" s="360"/>
      <c r="FB126" s="360"/>
      <c r="FC126" s="360"/>
      <c r="FD126" s="360"/>
      <c r="FE126" s="360"/>
      <c r="FF126" s="360"/>
      <c r="FG126" s="360"/>
      <c r="FH126" s="352"/>
      <c r="FI126" s="352"/>
      <c r="FJ126" s="352"/>
      <c r="FK126" s="352"/>
      <c r="FL126" s="352"/>
      <c r="FM126" s="352"/>
      <c r="FN126" s="352"/>
      <c r="FO126" s="345"/>
      <c r="FP126" s="345"/>
      <c r="FQ126" s="345"/>
      <c r="FR126" s="345"/>
      <c r="FS126" s="345"/>
    </row>
    <row r="127" spans="1:175" s="112" customFormat="1" ht="16.5" hidden="1" customHeight="1" x14ac:dyDescent="0.25">
      <c r="A127" s="10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2"/>
      <c r="X127" s="12"/>
      <c r="Y127" s="12"/>
      <c r="Z127" s="12"/>
      <c r="AA127" s="105"/>
      <c r="AB127" s="100"/>
      <c r="AC127" s="100"/>
      <c r="AD127" s="100"/>
      <c r="AE127" s="100"/>
      <c r="AF127" s="100"/>
      <c r="AG127" s="100"/>
      <c r="AH127" s="100"/>
      <c r="AI127" s="100"/>
      <c r="AJ127" s="100"/>
      <c r="AK127" s="100"/>
      <c r="AL127" s="100"/>
      <c r="AM127" s="100"/>
      <c r="AN127" s="100"/>
      <c r="AO127" s="100"/>
      <c r="AP127" s="100"/>
      <c r="AQ127" s="100"/>
      <c r="AR127" s="100"/>
      <c r="AS127" s="100"/>
      <c r="AT127" s="100"/>
      <c r="AU127" s="100"/>
      <c r="AV127" s="100"/>
      <c r="AW127" s="109"/>
      <c r="AX127" s="100"/>
      <c r="AY127" s="130"/>
      <c r="AZ127" s="346"/>
      <c r="BA127" s="343"/>
      <c r="BB127" s="389"/>
      <c r="BC127" s="395"/>
      <c r="BD127" s="395"/>
      <c r="BE127" s="395"/>
      <c r="BF127" s="395"/>
      <c r="BG127" s="395"/>
      <c r="BH127" s="395"/>
      <c r="BI127" s="343"/>
      <c r="BJ127" s="357"/>
      <c r="BK127" s="357"/>
      <c r="BL127" s="357"/>
      <c r="BM127" s="357"/>
      <c r="BN127" s="357"/>
      <c r="BO127" s="357"/>
      <c r="BP127" s="357"/>
      <c r="BQ127" s="359"/>
      <c r="BR127" s="359"/>
      <c r="BS127" s="359"/>
      <c r="BT127" s="359"/>
      <c r="BU127" s="359"/>
      <c r="BV127" s="359"/>
      <c r="BW127" s="359"/>
      <c r="BX127" s="359"/>
      <c r="BY127" s="359"/>
      <c r="BZ127" s="359"/>
      <c r="CA127" s="359"/>
      <c r="CB127" s="359"/>
      <c r="CC127" s="359"/>
      <c r="CD127" s="359"/>
      <c r="CE127" s="359"/>
      <c r="CF127" s="359"/>
      <c r="CG127" s="359"/>
      <c r="CH127" s="359"/>
      <c r="CI127" s="359"/>
      <c r="CJ127" s="359"/>
      <c r="CK127" s="359"/>
      <c r="CL127" s="359"/>
      <c r="CM127" s="359"/>
      <c r="CN127" s="359"/>
      <c r="CO127" s="359"/>
      <c r="CP127" s="359"/>
      <c r="CQ127" s="359"/>
      <c r="CR127" s="359"/>
      <c r="CS127" s="359"/>
      <c r="CT127" s="359"/>
      <c r="CU127" s="359"/>
      <c r="CV127" s="359"/>
      <c r="CW127" s="359"/>
      <c r="CX127" s="359"/>
      <c r="CY127" s="359"/>
      <c r="CZ127" s="359"/>
      <c r="DA127" s="359"/>
      <c r="DB127" s="359"/>
      <c r="DC127" s="359"/>
      <c r="DD127" s="359"/>
      <c r="DE127" s="359"/>
      <c r="DF127" s="359"/>
      <c r="DG127" s="359"/>
      <c r="DH127" s="359"/>
      <c r="DI127" s="359"/>
      <c r="DJ127" s="359"/>
      <c r="DK127" s="359"/>
      <c r="DL127" s="359"/>
      <c r="DM127" s="359"/>
      <c r="DN127" s="408"/>
      <c r="DO127" s="408"/>
      <c r="DP127" s="408"/>
      <c r="DQ127" s="408"/>
      <c r="DR127" s="408"/>
      <c r="DS127" s="408"/>
      <c r="DT127" s="408"/>
      <c r="DU127" s="408"/>
      <c r="DV127" s="408"/>
      <c r="DW127" s="408"/>
      <c r="DX127" s="408"/>
      <c r="DY127" s="408"/>
      <c r="DZ127" s="408"/>
      <c r="EA127" s="359"/>
      <c r="EB127" s="359"/>
      <c r="EC127" s="359"/>
      <c r="ED127" s="359"/>
      <c r="EE127" s="359"/>
      <c r="EF127" s="359"/>
      <c r="EG127" s="359"/>
      <c r="EH127" s="359"/>
      <c r="EI127" s="359"/>
      <c r="EJ127" s="359"/>
      <c r="EK127" s="359"/>
      <c r="EL127" s="359"/>
      <c r="EM127" s="359"/>
      <c r="EN127" s="359"/>
      <c r="EO127" s="359"/>
      <c r="EP127" s="360"/>
      <c r="EQ127" s="360"/>
      <c r="ER127" s="360"/>
      <c r="ES127" s="360"/>
      <c r="ET127" s="360"/>
      <c r="EU127" s="360"/>
      <c r="EV127" s="360"/>
      <c r="EW127" s="360"/>
      <c r="EX127" s="360"/>
      <c r="EY127" s="360"/>
      <c r="EZ127" s="360"/>
      <c r="FA127" s="360"/>
      <c r="FB127" s="360"/>
      <c r="FC127" s="360"/>
      <c r="FD127" s="360"/>
      <c r="FE127" s="360"/>
      <c r="FF127" s="360"/>
      <c r="FG127" s="360"/>
      <c r="FH127" s="352"/>
      <c r="FI127" s="352"/>
      <c r="FJ127" s="352"/>
      <c r="FK127" s="352"/>
      <c r="FL127" s="352"/>
      <c r="FM127" s="352"/>
      <c r="FN127" s="352"/>
      <c r="FO127" s="345"/>
      <c r="FP127" s="345"/>
      <c r="FQ127" s="345"/>
      <c r="FR127" s="345"/>
      <c r="FS127" s="345"/>
    </row>
    <row r="128" spans="1:175" s="112" customFormat="1" ht="16.5" hidden="1" customHeight="1" x14ac:dyDescent="0.25">
      <c r="A128" s="10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2"/>
      <c r="X128" s="12"/>
      <c r="Y128" s="12"/>
      <c r="Z128" s="12"/>
      <c r="AA128" s="105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9"/>
      <c r="AX128" s="100"/>
      <c r="AY128" s="130"/>
      <c r="AZ128" s="346"/>
      <c r="BA128" s="343"/>
      <c r="BB128" s="389"/>
      <c r="BC128" s="395"/>
      <c r="BD128" s="395"/>
      <c r="BE128" s="395"/>
      <c r="BF128" s="395"/>
      <c r="BG128" s="395"/>
      <c r="BH128" s="395"/>
      <c r="BI128" s="343"/>
      <c r="BJ128" s="357"/>
      <c r="BK128" s="357"/>
      <c r="BL128" s="357"/>
      <c r="BM128" s="357"/>
      <c r="BN128" s="357"/>
      <c r="BO128" s="357"/>
      <c r="BP128" s="357"/>
      <c r="BQ128" s="359"/>
      <c r="BR128" s="359"/>
      <c r="BS128" s="359"/>
      <c r="BT128" s="359"/>
      <c r="BU128" s="359"/>
      <c r="BV128" s="359"/>
      <c r="BW128" s="359"/>
      <c r="BX128" s="359"/>
      <c r="BY128" s="359"/>
      <c r="BZ128" s="359"/>
      <c r="CA128" s="359"/>
      <c r="CB128" s="359"/>
      <c r="CC128" s="359"/>
      <c r="CD128" s="359"/>
      <c r="CE128" s="359"/>
      <c r="CF128" s="359"/>
      <c r="CG128" s="359"/>
      <c r="CH128" s="359"/>
      <c r="CI128" s="359"/>
      <c r="CJ128" s="359"/>
      <c r="CK128" s="359"/>
      <c r="CL128" s="359"/>
      <c r="CM128" s="359"/>
      <c r="CN128" s="359"/>
      <c r="CO128" s="359"/>
      <c r="CP128" s="359"/>
      <c r="CQ128" s="359"/>
      <c r="CR128" s="359"/>
      <c r="CS128" s="359"/>
      <c r="CT128" s="359"/>
      <c r="CU128" s="359"/>
      <c r="CV128" s="359"/>
      <c r="CW128" s="359"/>
      <c r="CX128" s="359"/>
      <c r="CY128" s="359"/>
      <c r="CZ128" s="359"/>
      <c r="DA128" s="359"/>
      <c r="DB128" s="359"/>
      <c r="DC128" s="359"/>
      <c r="DD128" s="359"/>
      <c r="DE128" s="359"/>
      <c r="DF128" s="359"/>
      <c r="DG128" s="359"/>
      <c r="DH128" s="359"/>
      <c r="DI128" s="359"/>
      <c r="DJ128" s="359"/>
      <c r="DK128" s="359"/>
      <c r="DL128" s="359"/>
      <c r="DM128" s="359"/>
      <c r="DN128" s="408"/>
      <c r="DO128" s="408"/>
      <c r="DP128" s="408"/>
      <c r="DQ128" s="408"/>
      <c r="DR128" s="408"/>
      <c r="DS128" s="408"/>
      <c r="DT128" s="408"/>
      <c r="DU128" s="408"/>
      <c r="DV128" s="408"/>
      <c r="DW128" s="408"/>
      <c r="DX128" s="408"/>
      <c r="DY128" s="408"/>
      <c r="DZ128" s="408"/>
      <c r="EA128" s="359"/>
      <c r="EB128" s="359"/>
      <c r="EC128" s="359"/>
      <c r="ED128" s="359"/>
      <c r="EE128" s="359"/>
      <c r="EF128" s="359"/>
      <c r="EG128" s="359"/>
      <c r="EH128" s="359"/>
      <c r="EI128" s="359"/>
      <c r="EJ128" s="359"/>
      <c r="EK128" s="359"/>
      <c r="EL128" s="359"/>
      <c r="EM128" s="359"/>
      <c r="EN128" s="359"/>
      <c r="EO128" s="359"/>
      <c r="EP128" s="360"/>
      <c r="EQ128" s="360"/>
      <c r="ER128" s="360"/>
      <c r="ES128" s="360"/>
      <c r="ET128" s="360"/>
      <c r="EU128" s="360"/>
      <c r="EV128" s="360"/>
      <c r="EW128" s="360"/>
      <c r="EX128" s="360"/>
      <c r="EY128" s="360"/>
      <c r="EZ128" s="360"/>
      <c r="FA128" s="360"/>
      <c r="FB128" s="360"/>
      <c r="FC128" s="360"/>
      <c r="FD128" s="360"/>
      <c r="FE128" s="360"/>
      <c r="FF128" s="360"/>
      <c r="FG128" s="360"/>
      <c r="FH128" s="352"/>
      <c r="FI128" s="352"/>
      <c r="FJ128" s="352"/>
      <c r="FK128" s="352"/>
      <c r="FL128" s="352"/>
      <c r="FM128" s="352"/>
      <c r="FN128" s="352"/>
      <c r="FO128" s="345"/>
      <c r="FP128" s="345"/>
      <c r="FQ128" s="345"/>
      <c r="FR128" s="345"/>
      <c r="FS128" s="345"/>
    </row>
    <row r="129" spans="1:175" s="112" customFormat="1" ht="16.5" hidden="1" customHeight="1" x14ac:dyDescent="0.25">
      <c r="A129" s="10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2"/>
      <c r="X129" s="12"/>
      <c r="Y129" s="12"/>
      <c r="Z129" s="12"/>
      <c r="AA129" s="105"/>
      <c r="AB129" s="100"/>
      <c r="AC129" s="100"/>
      <c r="AD129" s="100"/>
      <c r="AE129" s="100"/>
      <c r="AF129" s="100"/>
      <c r="AG129" s="100"/>
      <c r="AH129" s="100"/>
      <c r="AI129" s="100"/>
      <c r="AJ129" s="100"/>
      <c r="AK129" s="100"/>
      <c r="AL129" s="100"/>
      <c r="AM129" s="100"/>
      <c r="AN129" s="100"/>
      <c r="AO129" s="100"/>
      <c r="AP129" s="100"/>
      <c r="AQ129" s="100"/>
      <c r="AR129" s="100"/>
      <c r="AS129" s="100"/>
      <c r="AT129" s="100"/>
      <c r="AU129" s="100"/>
      <c r="AV129" s="100"/>
      <c r="AW129" s="109"/>
      <c r="AX129" s="100"/>
      <c r="AY129" s="130"/>
      <c r="AZ129" s="346"/>
      <c r="BA129" s="343"/>
      <c r="BB129" s="389"/>
      <c r="BC129" s="395"/>
      <c r="BD129" s="395"/>
      <c r="BE129" s="395"/>
      <c r="BF129" s="395"/>
      <c r="BG129" s="395"/>
      <c r="BH129" s="395"/>
      <c r="BI129" s="343"/>
      <c r="BJ129" s="357"/>
      <c r="BK129" s="357"/>
      <c r="BL129" s="357"/>
      <c r="BM129" s="357"/>
      <c r="BN129" s="357"/>
      <c r="BO129" s="357"/>
      <c r="BP129" s="357"/>
      <c r="BQ129" s="359"/>
      <c r="BR129" s="359"/>
      <c r="BS129" s="359"/>
      <c r="BT129" s="359"/>
      <c r="BU129" s="359"/>
      <c r="BV129" s="359"/>
      <c r="BW129" s="359"/>
      <c r="BX129" s="359"/>
      <c r="BY129" s="359"/>
      <c r="BZ129" s="359"/>
      <c r="CA129" s="359"/>
      <c r="CB129" s="359"/>
      <c r="CC129" s="359"/>
      <c r="CD129" s="359"/>
      <c r="CE129" s="359"/>
      <c r="CF129" s="359"/>
      <c r="CG129" s="359"/>
      <c r="CH129" s="359"/>
      <c r="CI129" s="359"/>
      <c r="CJ129" s="359"/>
      <c r="CK129" s="359"/>
      <c r="CL129" s="359"/>
      <c r="CM129" s="359"/>
      <c r="CN129" s="359"/>
      <c r="CO129" s="359"/>
      <c r="CP129" s="359"/>
      <c r="CQ129" s="359"/>
      <c r="CR129" s="359"/>
      <c r="CS129" s="359"/>
      <c r="CT129" s="359"/>
      <c r="CU129" s="359"/>
      <c r="CV129" s="359"/>
      <c r="CW129" s="359"/>
      <c r="CX129" s="359"/>
      <c r="CY129" s="359"/>
      <c r="CZ129" s="359"/>
      <c r="DA129" s="359"/>
      <c r="DB129" s="359"/>
      <c r="DC129" s="359"/>
      <c r="DD129" s="359"/>
      <c r="DE129" s="359"/>
      <c r="DF129" s="359"/>
      <c r="DG129" s="359"/>
      <c r="DH129" s="359"/>
      <c r="DI129" s="359"/>
      <c r="DJ129" s="359"/>
      <c r="DK129" s="359"/>
      <c r="DL129" s="359"/>
      <c r="DM129" s="359"/>
      <c r="DN129" s="408"/>
      <c r="DO129" s="408"/>
      <c r="DP129" s="408"/>
      <c r="DQ129" s="408"/>
      <c r="DR129" s="408"/>
      <c r="DS129" s="408"/>
      <c r="DT129" s="408"/>
      <c r="DU129" s="408"/>
      <c r="DV129" s="408"/>
      <c r="DW129" s="408"/>
      <c r="DX129" s="408"/>
      <c r="DY129" s="408"/>
      <c r="DZ129" s="408"/>
      <c r="EA129" s="359"/>
      <c r="EB129" s="359"/>
      <c r="EC129" s="359"/>
      <c r="ED129" s="359"/>
      <c r="EE129" s="359"/>
      <c r="EF129" s="359"/>
      <c r="EG129" s="359"/>
      <c r="EH129" s="359"/>
      <c r="EI129" s="359"/>
      <c r="EJ129" s="359"/>
      <c r="EK129" s="359"/>
      <c r="EL129" s="359"/>
      <c r="EM129" s="359"/>
      <c r="EN129" s="359"/>
      <c r="EO129" s="359"/>
      <c r="EP129" s="360"/>
      <c r="EQ129" s="360"/>
      <c r="ER129" s="360"/>
      <c r="ES129" s="360"/>
      <c r="ET129" s="360"/>
      <c r="EU129" s="360"/>
      <c r="EV129" s="360"/>
      <c r="EW129" s="360"/>
      <c r="EX129" s="360"/>
      <c r="EY129" s="360"/>
      <c r="EZ129" s="360"/>
      <c r="FA129" s="360"/>
      <c r="FB129" s="360"/>
      <c r="FC129" s="360"/>
      <c r="FD129" s="360"/>
      <c r="FE129" s="360"/>
      <c r="FF129" s="360"/>
      <c r="FG129" s="360"/>
      <c r="FH129" s="352"/>
      <c r="FI129" s="352"/>
      <c r="FJ129" s="352"/>
      <c r="FK129" s="352"/>
      <c r="FL129" s="352"/>
      <c r="FM129" s="352"/>
      <c r="FN129" s="352"/>
      <c r="FO129" s="345"/>
      <c r="FP129" s="345"/>
      <c r="FQ129" s="345"/>
      <c r="FR129" s="345"/>
      <c r="FS129" s="345"/>
    </row>
    <row r="130" spans="1:175" s="112" customFormat="1" ht="16.5" hidden="1" customHeight="1" x14ac:dyDescent="0.25">
      <c r="A130" s="10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2"/>
      <c r="X130" s="12"/>
      <c r="Y130" s="12"/>
      <c r="Z130" s="12"/>
      <c r="AA130" s="105"/>
      <c r="AB130" s="100"/>
      <c r="AC130" s="100"/>
      <c r="AD130" s="100"/>
      <c r="AE130" s="100"/>
      <c r="AF130" s="100"/>
      <c r="AG130" s="100"/>
      <c r="AH130" s="100"/>
      <c r="AI130" s="100"/>
      <c r="AJ130" s="100"/>
      <c r="AK130" s="100"/>
      <c r="AL130" s="100"/>
      <c r="AM130" s="100"/>
      <c r="AN130" s="100"/>
      <c r="AO130" s="100"/>
      <c r="AP130" s="100"/>
      <c r="AQ130" s="100"/>
      <c r="AR130" s="100"/>
      <c r="AS130" s="100"/>
      <c r="AT130" s="100"/>
      <c r="AU130" s="100"/>
      <c r="AV130" s="100"/>
      <c r="AW130" s="109"/>
      <c r="AX130" s="100"/>
      <c r="AY130" s="130"/>
      <c r="AZ130" s="346"/>
      <c r="BA130" s="343"/>
      <c r="BB130" s="389"/>
      <c r="BC130" s="395"/>
      <c r="BD130" s="395"/>
      <c r="BE130" s="395"/>
      <c r="BF130" s="395"/>
      <c r="BG130" s="395"/>
      <c r="BH130" s="395"/>
      <c r="BI130" s="343"/>
      <c r="BJ130" s="357"/>
      <c r="BK130" s="357"/>
      <c r="BL130" s="357"/>
      <c r="BM130" s="357"/>
      <c r="BN130" s="357"/>
      <c r="BO130" s="357"/>
      <c r="BP130" s="357"/>
      <c r="BQ130" s="359"/>
      <c r="BR130" s="359"/>
      <c r="BS130" s="359"/>
      <c r="BT130" s="359"/>
      <c r="BU130" s="359"/>
      <c r="BV130" s="359"/>
      <c r="BW130" s="359"/>
      <c r="BX130" s="359"/>
      <c r="BY130" s="359"/>
      <c r="BZ130" s="359"/>
      <c r="CA130" s="359"/>
      <c r="CB130" s="359"/>
      <c r="CC130" s="359"/>
      <c r="CD130" s="359"/>
      <c r="CE130" s="359"/>
      <c r="CF130" s="359"/>
      <c r="CG130" s="359"/>
      <c r="CH130" s="359"/>
      <c r="CI130" s="359"/>
      <c r="CJ130" s="359"/>
      <c r="CK130" s="359"/>
      <c r="CL130" s="359"/>
      <c r="CM130" s="359"/>
      <c r="CN130" s="359"/>
      <c r="CO130" s="359"/>
      <c r="CP130" s="359"/>
      <c r="CQ130" s="359"/>
      <c r="CR130" s="359"/>
      <c r="CS130" s="359"/>
      <c r="CT130" s="359"/>
      <c r="CU130" s="359"/>
      <c r="CV130" s="359"/>
      <c r="CW130" s="359"/>
      <c r="CX130" s="359"/>
      <c r="CY130" s="359"/>
      <c r="CZ130" s="359"/>
      <c r="DA130" s="359"/>
      <c r="DB130" s="359"/>
      <c r="DC130" s="359"/>
      <c r="DD130" s="359"/>
      <c r="DE130" s="359"/>
      <c r="DF130" s="359"/>
      <c r="DG130" s="359"/>
      <c r="DH130" s="359"/>
      <c r="DI130" s="359"/>
      <c r="DJ130" s="359"/>
      <c r="DK130" s="359"/>
      <c r="DL130" s="359"/>
      <c r="DM130" s="359"/>
      <c r="DN130" s="408"/>
      <c r="DO130" s="408"/>
      <c r="DP130" s="408"/>
      <c r="DQ130" s="408"/>
      <c r="DR130" s="408"/>
      <c r="DS130" s="408"/>
      <c r="DT130" s="408"/>
      <c r="DU130" s="408"/>
      <c r="DV130" s="408"/>
      <c r="DW130" s="408"/>
      <c r="DX130" s="408"/>
      <c r="DY130" s="408"/>
      <c r="DZ130" s="408"/>
      <c r="EA130" s="359"/>
      <c r="EB130" s="359"/>
      <c r="EC130" s="359"/>
      <c r="ED130" s="359"/>
      <c r="EE130" s="359"/>
      <c r="EF130" s="359"/>
      <c r="EG130" s="359"/>
      <c r="EH130" s="359"/>
      <c r="EI130" s="359"/>
      <c r="EJ130" s="359"/>
      <c r="EK130" s="359"/>
      <c r="EL130" s="359"/>
      <c r="EM130" s="359"/>
      <c r="EN130" s="359"/>
      <c r="EO130" s="359"/>
      <c r="EP130" s="360"/>
      <c r="EQ130" s="360"/>
      <c r="ER130" s="360"/>
      <c r="ES130" s="360"/>
      <c r="ET130" s="360"/>
      <c r="EU130" s="360"/>
      <c r="EV130" s="360"/>
      <c r="EW130" s="360"/>
      <c r="EX130" s="360"/>
      <c r="EY130" s="360"/>
      <c r="EZ130" s="360"/>
      <c r="FA130" s="360"/>
      <c r="FB130" s="360"/>
      <c r="FC130" s="360"/>
      <c r="FD130" s="360"/>
      <c r="FE130" s="360"/>
      <c r="FF130" s="360"/>
      <c r="FG130" s="360"/>
      <c r="FH130" s="352"/>
      <c r="FI130" s="352"/>
      <c r="FJ130" s="352"/>
      <c r="FK130" s="352"/>
      <c r="FL130" s="352"/>
      <c r="FM130" s="352"/>
      <c r="FN130" s="352"/>
      <c r="FO130" s="345"/>
      <c r="FP130" s="345"/>
      <c r="FQ130" s="345"/>
      <c r="FR130" s="345"/>
      <c r="FS130" s="345"/>
    </row>
    <row r="131" spans="1:175" s="112" customFormat="1" hidden="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01"/>
      <c r="AB131" s="100"/>
      <c r="AC131" s="100"/>
      <c r="AD131" s="100"/>
      <c r="AE131" s="100"/>
      <c r="AF131" s="100"/>
      <c r="AG131" s="100"/>
      <c r="AH131" s="100"/>
      <c r="AI131" s="100"/>
      <c r="AJ131" s="100"/>
      <c r="AK131" s="100"/>
      <c r="AL131" s="100"/>
      <c r="AM131" s="100"/>
      <c r="AN131" s="100"/>
      <c r="AO131" s="100"/>
      <c r="AP131" s="100"/>
      <c r="AQ131" s="100"/>
      <c r="AR131" s="100"/>
      <c r="AS131" s="100"/>
      <c r="AT131" s="100"/>
      <c r="AU131" s="100"/>
      <c r="AV131" s="100"/>
      <c r="AW131" s="109"/>
      <c r="AX131" s="100"/>
      <c r="AY131" s="130"/>
      <c r="AZ131" s="346"/>
      <c r="BA131" s="343"/>
      <c r="BB131" s="389"/>
      <c r="BC131" s="395"/>
      <c r="BD131" s="395"/>
      <c r="BE131" s="395"/>
      <c r="BF131" s="395"/>
      <c r="BG131" s="395"/>
      <c r="BH131" s="395"/>
      <c r="BI131" s="343"/>
      <c r="BJ131" s="357"/>
      <c r="BK131" s="357"/>
      <c r="BL131" s="357"/>
      <c r="BM131" s="357"/>
      <c r="BN131" s="357"/>
      <c r="BO131" s="357"/>
      <c r="BP131" s="357"/>
      <c r="BQ131" s="359"/>
      <c r="BR131" s="359"/>
      <c r="BS131" s="359"/>
      <c r="BT131" s="359"/>
      <c r="BU131" s="359"/>
      <c r="BV131" s="359"/>
      <c r="BW131" s="359"/>
      <c r="BX131" s="359"/>
      <c r="BY131" s="359"/>
      <c r="BZ131" s="359"/>
      <c r="CA131" s="359"/>
      <c r="CB131" s="359"/>
      <c r="CC131" s="359"/>
      <c r="CD131" s="359"/>
      <c r="CE131" s="359"/>
      <c r="CF131" s="359"/>
      <c r="CG131" s="359"/>
      <c r="CH131" s="359"/>
      <c r="CI131" s="359"/>
      <c r="CJ131" s="359"/>
      <c r="CK131" s="359"/>
      <c r="CL131" s="359"/>
      <c r="CM131" s="359"/>
      <c r="CN131" s="359"/>
      <c r="CO131" s="359"/>
      <c r="CP131" s="359"/>
      <c r="CQ131" s="359"/>
      <c r="CR131" s="359"/>
      <c r="CS131" s="359"/>
      <c r="CT131" s="359"/>
      <c r="CU131" s="359"/>
      <c r="CV131" s="359"/>
      <c r="CW131" s="359"/>
      <c r="CX131" s="359"/>
      <c r="CY131" s="359"/>
      <c r="CZ131" s="359"/>
      <c r="DA131" s="359"/>
      <c r="DB131" s="359"/>
      <c r="DC131" s="359"/>
      <c r="DD131" s="359"/>
      <c r="DE131" s="359"/>
      <c r="DF131" s="359"/>
      <c r="DG131" s="359"/>
      <c r="DH131" s="359"/>
      <c r="DI131" s="359"/>
      <c r="DJ131" s="359"/>
      <c r="DK131" s="359"/>
      <c r="DL131" s="359"/>
      <c r="DM131" s="359"/>
      <c r="DN131" s="408"/>
      <c r="DO131" s="408"/>
      <c r="DP131" s="408"/>
      <c r="DQ131" s="408"/>
      <c r="DR131" s="408"/>
      <c r="DS131" s="408"/>
      <c r="DT131" s="408"/>
      <c r="DU131" s="408"/>
      <c r="DV131" s="408"/>
      <c r="DW131" s="408"/>
      <c r="DX131" s="408"/>
      <c r="DY131" s="408"/>
      <c r="DZ131" s="408"/>
      <c r="EA131" s="359"/>
      <c r="EB131" s="359"/>
      <c r="EC131" s="359"/>
      <c r="ED131" s="359"/>
      <c r="EE131" s="359"/>
      <c r="EF131" s="359"/>
      <c r="EG131" s="359"/>
      <c r="EH131" s="359"/>
      <c r="EI131" s="359"/>
      <c r="EJ131" s="359"/>
      <c r="EK131" s="359"/>
      <c r="EL131" s="359"/>
      <c r="EM131" s="359"/>
      <c r="EN131" s="359"/>
      <c r="EO131" s="359"/>
      <c r="EP131" s="360"/>
      <c r="EQ131" s="360"/>
      <c r="ER131" s="360"/>
      <c r="ES131" s="360"/>
      <c r="ET131" s="360"/>
      <c r="EU131" s="360"/>
      <c r="EV131" s="360"/>
      <c r="EW131" s="360"/>
      <c r="EX131" s="360"/>
      <c r="EY131" s="360"/>
      <c r="EZ131" s="360"/>
      <c r="FA131" s="360"/>
      <c r="FB131" s="360"/>
      <c r="FC131" s="360"/>
      <c r="FD131" s="360"/>
      <c r="FE131" s="360"/>
      <c r="FF131" s="360"/>
      <c r="FG131" s="360"/>
      <c r="FH131" s="352"/>
      <c r="FI131" s="352"/>
      <c r="FJ131" s="352"/>
      <c r="FK131" s="352"/>
      <c r="FL131" s="352"/>
      <c r="FM131" s="352"/>
      <c r="FN131" s="352"/>
      <c r="FO131" s="345"/>
      <c r="FP131" s="345"/>
      <c r="FQ131" s="345"/>
      <c r="FR131" s="345"/>
      <c r="FS131" s="345"/>
    </row>
    <row r="132" spans="1:175" s="112" customFormat="1" hidden="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01"/>
      <c r="AB132" s="100"/>
      <c r="AC132" s="100"/>
      <c r="AD132" s="100"/>
      <c r="AE132" s="100"/>
      <c r="AF132" s="100"/>
      <c r="AG132" s="100"/>
      <c r="AH132" s="100"/>
      <c r="AI132" s="100"/>
      <c r="AJ132" s="100"/>
      <c r="AK132" s="100"/>
      <c r="AL132" s="100"/>
      <c r="AM132" s="100"/>
      <c r="AN132" s="100"/>
      <c r="AO132" s="100"/>
      <c r="AP132" s="100"/>
      <c r="AQ132" s="100"/>
      <c r="AR132" s="100"/>
      <c r="AS132" s="100"/>
      <c r="AT132" s="100"/>
      <c r="AU132" s="100"/>
      <c r="AV132" s="100"/>
      <c r="AW132" s="109"/>
      <c r="AX132" s="100"/>
      <c r="AY132" s="130"/>
      <c r="AZ132" s="346"/>
      <c r="BA132" s="343"/>
      <c r="BB132" s="389"/>
      <c r="BC132" s="395"/>
      <c r="BD132" s="395"/>
      <c r="BE132" s="395"/>
      <c r="BF132" s="395"/>
      <c r="BG132" s="395"/>
      <c r="BH132" s="395"/>
      <c r="BI132" s="343"/>
      <c r="BJ132" s="357"/>
      <c r="BK132" s="357"/>
      <c r="BL132" s="357"/>
      <c r="BM132" s="357"/>
      <c r="BN132" s="357"/>
      <c r="BO132" s="357"/>
      <c r="BP132" s="357"/>
      <c r="BQ132" s="359"/>
      <c r="BR132" s="359"/>
      <c r="BS132" s="359"/>
      <c r="BT132" s="359"/>
      <c r="BU132" s="359"/>
      <c r="BV132" s="359"/>
      <c r="BW132" s="359"/>
      <c r="BX132" s="359"/>
      <c r="BY132" s="359"/>
      <c r="BZ132" s="359"/>
      <c r="CA132" s="359"/>
      <c r="CB132" s="359"/>
      <c r="CC132" s="359"/>
      <c r="CD132" s="359"/>
      <c r="CE132" s="359"/>
      <c r="CF132" s="359"/>
      <c r="CG132" s="359"/>
      <c r="CH132" s="359"/>
      <c r="CI132" s="359"/>
      <c r="CJ132" s="359"/>
      <c r="CK132" s="359"/>
      <c r="CL132" s="359"/>
      <c r="CM132" s="359"/>
      <c r="CN132" s="359"/>
      <c r="CO132" s="359"/>
      <c r="CP132" s="359"/>
      <c r="CQ132" s="359"/>
      <c r="CR132" s="359"/>
      <c r="CS132" s="359"/>
      <c r="CT132" s="359"/>
      <c r="CU132" s="359"/>
      <c r="CV132" s="359"/>
      <c r="CW132" s="359"/>
      <c r="CX132" s="359"/>
      <c r="CY132" s="359"/>
      <c r="CZ132" s="359"/>
      <c r="DA132" s="359"/>
      <c r="DB132" s="359"/>
      <c r="DC132" s="359"/>
      <c r="DD132" s="359"/>
      <c r="DE132" s="359"/>
      <c r="DF132" s="359"/>
      <c r="DG132" s="359"/>
      <c r="DH132" s="359"/>
      <c r="DI132" s="359"/>
      <c r="DJ132" s="359"/>
      <c r="DK132" s="359"/>
      <c r="DL132" s="359"/>
      <c r="DM132" s="359"/>
      <c r="DN132" s="408"/>
      <c r="DO132" s="408"/>
      <c r="DP132" s="408"/>
      <c r="DQ132" s="408"/>
      <c r="DR132" s="408"/>
      <c r="DS132" s="408"/>
      <c r="DT132" s="408"/>
      <c r="DU132" s="408"/>
      <c r="DV132" s="408"/>
      <c r="DW132" s="408"/>
      <c r="DX132" s="408"/>
      <c r="DY132" s="408"/>
      <c r="DZ132" s="408"/>
      <c r="EA132" s="359"/>
      <c r="EB132" s="359"/>
      <c r="EC132" s="359"/>
      <c r="ED132" s="359"/>
      <c r="EE132" s="359"/>
      <c r="EF132" s="359"/>
      <c r="EG132" s="359"/>
      <c r="EH132" s="359"/>
      <c r="EI132" s="359"/>
      <c r="EJ132" s="359"/>
      <c r="EK132" s="359"/>
      <c r="EL132" s="359"/>
      <c r="EM132" s="359"/>
      <c r="EN132" s="359"/>
      <c r="EO132" s="359"/>
      <c r="EP132" s="360"/>
      <c r="EQ132" s="360"/>
      <c r="ER132" s="360"/>
      <c r="ES132" s="360"/>
      <c r="ET132" s="360"/>
      <c r="EU132" s="360"/>
      <c r="EV132" s="360"/>
      <c r="EW132" s="360"/>
      <c r="EX132" s="360"/>
      <c r="EY132" s="360"/>
      <c r="EZ132" s="360"/>
      <c r="FA132" s="360"/>
      <c r="FB132" s="360"/>
      <c r="FC132" s="360"/>
      <c r="FD132" s="360"/>
      <c r="FE132" s="360"/>
      <c r="FF132" s="360"/>
      <c r="FG132" s="360"/>
      <c r="FH132" s="352"/>
      <c r="FI132" s="352"/>
      <c r="FJ132" s="352"/>
      <c r="FK132" s="352"/>
      <c r="FL132" s="352"/>
      <c r="FM132" s="352"/>
      <c r="FN132" s="352"/>
      <c r="FO132" s="345"/>
      <c r="FP132" s="345"/>
      <c r="FQ132" s="345"/>
      <c r="FR132" s="345"/>
      <c r="FS132" s="345"/>
    </row>
    <row r="133" spans="1:175" s="112" customFormat="1" hidden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01"/>
      <c r="AB133" s="100"/>
      <c r="AC133" s="100"/>
      <c r="AD133" s="100"/>
      <c r="AE133" s="100"/>
      <c r="AF133" s="100"/>
      <c r="AG133" s="100"/>
      <c r="AH133" s="100"/>
      <c r="AI133" s="100"/>
      <c r="AJ133" s="100"/>
      <c r="AK133" s="100"/>
      <c r="AL133" s="100"/>
      <c r="AM133" s="100"/>
      <c r="AN133" s="100"/>
      <c r="AO133" s="100"/>
      <c r="AP133" s="100"/>
      <c r="AQ133" s="100"/>
      <c r="AR133" s="100"/>
      <c r="AS133" s="100"/>
      <c r="AT133" s="100"/>
      <c r="AU133" s="100"/>
      <c r="AV133" s="100"/>
      <c r="AW133" s="109"/>
      <c r="AX133" s="100"/>
      <c r="AY133" s="130"/>
      <c r="AZ133" s="346"/>
      <c r="BA133" s="343"/>
      <c r="BB133" s="389"/>
      <c r="BC133" s="395"/>
      <c r="BD133" s="395"/>
      <c r="BE133" s="395"/>
      <c r="BF133" s="395"/>
      <c r="BG133" s="395"/>
      <c r="BH133" s="395"/>
      <c r="BI133" s="343"/>
      <c r="BJ133" s="357"/>
      <c r="BK133" s="357"/>
      <c r="BL133" s="357"/>
      <c r="BM133" s="357"/>
      <c r="BN133" s="357"/>
      <c r="BO133" s="357"/>
      <c r="BP133" s="357"/>
      <c r="BQ133" s="359"/>
      <c r="BR133" s="359"/>
      <c r="BS133" s="359"/>
      <c r="BT133" s="359"/>
      <c r="BU133" s="359"/>
      <c r="BV133" s="359"/>
      <c r="BW133" s="359"/>
      <c r="BX133" s="359"/>
      <c r="BY133" s="359"/>
      <c r="BZ133" s="359"/>
      <c r="CA133" s="359"/>
      <c r="CB133" s="359"/>
      <c r="CC133" s="359"/>
      <c r="CD133" s="359"/>
      <c r="CE133" s="359"/>
      <c r="CF133" s="359"/>
      <c r="CG133" s="359"/>
      <c r="CH133" s="359"/>
      <c r="CI133" s="359"/>
      <c r="CJ133" s="359"/>
      <c r="CK133" s="359"/>
      <c r="CL133" s="359"/>
      <c r="CM133" s="359"/>
      <c r="CN133" s="359"/>
      <c r="CO133" s="359"/>
      <c r="CP133" s="359"/>
      <c r="CQ133" s="359"/>
      <c r="CR133" s="359"/>
      <c r="CS133" s="359"/>
      <c r="CT133" s="359"/>
      <c r="CU133" s="359"/>
      <c r="CV133" s="359"/>
      <c r="CW133" s="359"/>
      <c r="CX133" s="359"/>
      <c r="CY133" s="359"/>
      <c r="CZ133" s="359"/>
      <c r="DA133" s="359"/>
      <c r="DB133" s="359"/>
      <c r="DC133" s="359"/>
      <c r="DD133" s="359"/>
      <c r="DE133" s="359"/>
      <c r="DF133" s="359"/>
      <c r="DG133" s="359"/>
      <c r="DH133" s="359"/>
      <c r="DI133" s="359"/>
      <c r="DJ133" s="359"/>
      <c r="DK133" s="359"/>
      <c r="DL133" s="359"/>
      <c r="DM133" s="359"/>
      <c r="DN133" s="408"/>
      <c r="DO133" s="408"/>
      <c r="DP133" s="408"/>
      <c r="DQ133" s="408"/>
      <c r="DR133" s="408"/>
      <c r="DS133" s="408"/>
      <c r="DT133" s="408"/>
      <c r="DU133" s="408"/>
      <c r="DV133" s="408"/>
      <c r="DW133" s="408"/>
      <c r="DX133" s="408"/>
      <c r="DY133" s="408"/>
      <c r="DZ133" s="408"/>
      <c r="EA133" s="359"/>
      <c r="EB133" s="359"/>
      <c r="EC133" s="359"/>
      <c r="ED133" s="359"/>
      <c r="EE133" s="359"/>
      <c r="EF133" s="359"/>
      <c r="EG133" s="359"/>
      <c r="EH133" s="359"/>
      <c r="EI133" s="359"/>
      <c r="EJ133" s="359"/>
      <c r="EK133" s="359"/>
      <c r="EL133" s="359"/>
      <c r="EM133" s="359"/>
      <c r="EN133" s="359"/>
      <c r="EO133" s="359"/>
      <c r="EP133" s="360"/>
      <c r="EQ133" s="360"/>
      <c r="ER133" s="360"/>
      <c r="ES133" s="360"/>
      <c r="ET133" s="360"/>
      <c r="EU133" s="360"/>
      <c r="EV133" s="360"/>
      <c r="EW133" s="360"/>
      <c r="EX133" s="360"/>
      <c r="EY133" s="360"/>
      <c r="EZ133" s="360"/>
      <c r="FA133" s="360"/>
      <c r="FB133" s="360"/>
      <c r="FC133" s="360"/>
      <c r="FD133" s="360"/>
      <c r="FE133" s="360"/>
      <c r="FF133" s="360"/>
      <c r="FG133" s="360"/>
      <c r="FH133" s="352"/>
      <c r="FI133" s="352"/>
      <c r="FJ133" s="352"/>
      <c r="FK133" s="352"/>
      <c r="FL133" s="352"/>
      <c r="FM133" s="352"/>
      <c r="FN133" s="352"/>
      <c r="FO133" s="345"/>
      <c r="FP133" s="345"/>
      <c r="FQ133" s="345"/>
      <c r="FR133" s="345"/>
      <c r="FS133" s="345"/>
    </row>
    <row r="134" spans="1:175" s="112" customFormat="1" hidden="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01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  <c r="AW134" s="109"/>
      <c r="AX134" s="100"/>
      <c r="AY134" s="130"/>
      <c r="AZ134" s="346"/>
      <c r="BA134" s="343"/>
      <c r="BB134" s="389"/>
      <c r="BC134" s="395"/>
      <c r="BD134" s="395"/>
      <c r="BE134" s="395"/>
      <c r="BF134" s="395"/>
      <c r="BG134" s="395"/>
      <c r="BH134" s="395"/>
      <c r="BI134" s="343"/>
      <c r="BJ134" s="357"/>
      <c r="BK134" s="357"/>
      <c r="BL134" s="357"/>
      <c r="BM134" s="357"/>
      <c r="BN134" s="357"/>
      <c r="BO134" s="357"/>
      <c r="BP134" s="357"/>
      <c r="BQ134" s="359"/>
      <c r="BR134" s="359"/>
      <c r="BS134" s="359"/>
      <c r="BT134" s="359"/>
      <c r="BU134" s="359"/>
      <c r="BV134" s="359"/>
      <c r="BW134" s="359"/>
      <c r="BX134" s="359"/>
      <c r="BY134" s="359"/>
      <c r="BZ134" s="359"/>
      <c r="CA134" s="359"/>
      <c r="CB134" s="359"/>
      <c r="CC134" s="359"/>
      <c r="CD134" s="359"/>
      <c r="CE134" s="359"/>
      <c r="CF134" s="359"/>
      <c r="CG134" s="359"/>
      <c r="CH134" s="359"/>
      <c r="CI134" s="359"/>
      <c r="CJ134" s="359"/>
      <c r="CK134" s="359"/>
      <c r="CL134" s="359"/>
      <c r="CM134" s="359"/>
      <c r="CN134" s="359"/>
      <c r="CO134" s="359"/>
      <c r="CP134" s="359"/>
      <c r="CQ134" s="359"/>
      <c r="CR134" s="359"/>
      <c r="CS134" s="359"/>
      <c r="CT134" s="359"/>
      <c r="CU134" s="359"/>
      <c r="CV134" s="359"/>
      <c r="CW134" s="359"/>
      <c r="CX134" s="359"/>
      <c r="CY134" s="359"/>
      <c r="CZ134" s="359"/>
      <c r="DA134" s="359"/>
      <c r="DB134" s="359"/>
      <c r="DC134" s="359"/>
      <c r="DD134" s="359"/>
      <c r="DE134" s="359"/>
      <c r="DF134" s="359"/>
      <c r="DG134" s="359"/>
      <c r="DH134" s="359"/>
      <c r="DI134" s="359"/>
      <c r="DJ134" s="359"/>
      <c r="DK134" s="359"/>
      <c r="DL134" s="359"/>
      <c r="DM134" s="359"/>
      <c r="DN134" s="408"/>
      <c r="DO134" s="408"/>
      <c r="DP134" s="408"/>
      <c r="DQ134" s="408"/>
      <c r="DR134" s="408"/>
      <c r="DS134" s="408"/>
      <c r="DT134" s="408"/>
      <c r="DU134" s="408"/>
      <c r="DV134" s="408"/>
      <c r="DW134" s="408"/>
      <c r="DX134" s="408"/>
      <c r="DY134" s="408"/>
      <c r="DZ134" s="408"/>
      <c r="EA134" s="359"/>
      <c r="EB134" s="359"/>
      <c r="EC134" s="359"/>
      <c r="ED134" s="359"/>
      <c r="EE134" s="359"/>
      <c r="EF134" s="359"/>
      <c r="EG134" s="359"/>
      <c r="EH134" s="359"/>
      <c r="EI134" s="359"/>
      <c r="EJ134" s="359"/>
      <c r="EK134" s="359"/>
      <c r="EL134" s="359"/>
      <c r="EM134" s="359"/>
      <c r="EN134" s="359"/>
      <c r="EO134" s="359"/>
      <c r="EP134" s="360"/>
      <c r="EQ134" s="360"/>
      <c r="ER134" s="360"/>
      <c r="ES134" s="360"/>
      <c r="ET134" s="360"/>
      <c r="EU134" s="360"/>
      <c r="EV134" s="360"/>
      <c r="EW134" s="360"/>
      <c r="EX134" s="360"/>
      <c r="EY134" s="360"/>
      <c r="EZ134" s="360"/>
      <c r="FA134" s="360"/>
      <c r="FB134" s="360"/>
      <c r="FC134" s="360"/>
      <c r="FD134" s="360"/>
      <c r="FE134" s="360"/>
      <c r="FF134" s="360"/>
      <c r="FG134" s="360"/>
      <c r="FH134" s="352"/>
      <c r="FI134" s="352"/>
      <c r="FJ134" s="352"/>
      <c r="FK134" s="352"/>
      <c r="FL134" s="352"/>
      <c r="FM134" s="352"/>
      <c r="FN134" s="352"/>
      <c r="FO134" s="345"/>
      <c r="FP134" s="345"/>
      <c r="FQ134" s="345"/>
      <c r="FR134" s="345"/>
      <c r="FS134" s="345"/>
    </row>
  </sheetData>
  <sheetProtection password="CE10" sheet="1" objects="1" scenarios="1"/>
  <customSheetViews>
    <customSheetView guid="{832708E3-AF11-4CE3-850A-D7F51F4C3C12}" showPageBreaks="1" printArea="1" hiddenRow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1"/>
      <headerFooter alignWithMargins="0"/>
    </customSheetView>
    <customSheetView guid="{E80248EA-EF1F-44D6-8644-3F36D4D9BE6D}" scale="110" showPageBreaks="1" printArea="1" hiddenRow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2"/>
      <headerFooter alignWithMargins="0"/>
    </customSheetView>
    <customSheetView guid="{438C87CC-A6DA-4739-A9B4-07154B9743D1}" showPageBreaks="1" printArea="1" hiddenRows="1" hiddenColumn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3"/>
      <headerFooter alignWithMargins="0"/>
    </customSheetView>
    <customSheetView guid="{9A9577CF-A99D-47E2-A2CA-C646A38E2EA0}" showPageBreaks="1" printArea="1" hiddenRows="1" hiddenColumns="1" showRuler="0">
      <selection activeCell="V3" sqref="V3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4"/>
      <headerFooter alignWithMargins="0"/>
    </customSheetView>
    <customSheetView guid="{9D30E936-D5E2-4901-B86F-C7EE6F193304}" showRuler="0">
      <selection activeCell="B5" sqref="B5:D5"/>
      <pageMargins left="0.78740157480314965" right="0.78740157480314965" top="0.98425196850393704" bottom="0.98425196850393704" header="0.51181102362204722" footer="0.51181102362204722"/>
      <pageSetup paperSize="9" pageOrder="overThenDown" orientation="portrait" horizontalDpi="300" verticalDpi="300" r:id="rId5"/>
      <headerFooter alignWithMargins="0"/>
    </customSheetView>
    <customSheetView guid="{3B3FA537-46D6-4632-B8A8-553F3EA07424}" showRuler="0">
      <selection activeCell="U16" sqref="U16:U17"/>
      <pageMargins left="0.78740157480314965" right="0.78740157480314965" top="0.98425196850393704" bottom="0.98425196850393704" header="0.51181102362204722" footer="0.51181102362204722"/>
      <pageSetup paperSize="9" pageOrder="overThenDown" orientation="portrait" horizontalDpi="300" verticalDpi="300" r:id="rId6"/>
      <headerFooter alignWithMargins="0"/>
    </customSheetView>
    <customSheetView guid="{5043E6C5-0447-4CC1-BE28-8137D7330070}" showPageBreaks="1" printArea="1" hiddenRows="1" hiddenColumns="1" showRuler="0">
      <selection activeCell="V3" sqref="V3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7"/>
      <headerFooter alignWithMargins="0"/>
    </customSheetView>
    <customSheetView guid="{785A560C-2AC4-43DF-B030-CE4835E1CBC4}" showPageBreaks="1" printArea="1" hiddenRows="1" hiddenColumn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8"/>
      <headerFooter alignWithMargins="0"/>
    </customSheetView>
    <customSheetView guid="{2E2E5DB7-CA42-4BBC-B021-0A198E008C5E}" showPageBreaks="1" printArea="1" hiddenRows="1" hiddenColumns="1" showRuler="0">
      <selection activeCell="E2" sqref="E2:S2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9"/>
      <headerFooter alignWithMargins="0"/>
    </customSheetView>
    <customSheetView guid="{66845537-EC82-4EBF-9919-7F98C7CC2A55}" hiddenRows="1" showRuler="0" topLeftCell="A10">
      <selection activeCell="O13" sqref="O13:R13"/>
      <pageMargins left="0.19685039370078741" right="0.19685039370078741" top="0.39370078740157483" bottom="0.39370078740157483" header="0.51181102362204722" footer="0.51181102362204722"/>
      <pageSetup paperSize="9" pageOrder="overThenDown" orientation="portrait" horizontalDpi="300" verticalDpi="300" r:id="rId10"/>
      <headerFooter alignWithMargins="0"/>
    </customSheetView>
  </customSheetViews>
  <mergeCells count="181">
    <mergeCell ref="CE56:CJ56"/>
    <mergeCell ref="CE57:CJ57"/>
    <mergeCell ref="CH35:CK35"/>
    <mergeCell ref="CE33:CJ33"/>
    <mergeCell ref="AY32:AY33"/>
    <mergeCell ref="AY34:AY43"/>
    <mergeCell ref="CE44:CJ44"/>
    <mergeCell ref="AM7:AR7"/>
    <mergeCell ref="AS7:AV7"/>
    <mergeCell ref="BW8:BX9"/>
    <mergeCell ref="AM12:AR12"/>
    <mergeCell ref="AS10:AT10"/>
    <mergeCell ref="AS11:AT11"/>
    <mergeCell ref="AS12:AT12"/>
    <mergeCell ref="AU10:AV10"/>
    <mergeCell ref="CE53:CJ53"/>
    <mergeCell ref="CE54:CJ54"/>
    <mergeCell ref="CE55:CJ55"/>
    <mergeCell ref="AO10:AR10"/>
    <mergeCell ref="CH36:CK36"/>
    <mergeCell ref="CH41:CK41"/>
    <mergeCell ref="CS52:CU52"/>
    <mergeCell ref="O49:P49"/>
    <mergeCell ref="O46:P46"/>
    <mergeCell ref="CE52:CJ52"/>
    <mergeCell ref="AD15:AE15"/>
    <mergeCell ref="CH46:CK46"/>
    <mergeCell ref="O47:P47"/>
    <mergeCell ref="Q47:R47"/>
    <mergeCell ref="O31:R31"/>
    <mergeCell ref="O33:R33"/>
    <mergeCell ref="O34:R34"/>
    <mergeCell ref="O36:R36"/>
    <mergeCell ref="O37:R37"/>
    <mergeCell ref="O45:P45"/>
    <mergeCell ref="O38:R38"/>
    <mergeCell ref="T45:U45"/>
    <mergeCell ref="O43:P43"/>
    <mergeCell ref="Q43:R43"/>
    <mergeCell ref="T44:U44"/>
    <mergeCell ref="X30:X40"/>
    <mergeCell ref="N51:Y52"/>
    <mergeCell ref="Q45:R45"/>
    <mergeCell ref="Q44:R44"/>
    <mergeCell ref="O44:P44"/>
    <mergeCell ref="T46:U46"/>
    <mergeCell ref="T47:U47"/>
    <mergeCell ref="T48:U48"/>
    <mergeCell ref="V46:X46"/>
    <mergeCell ref="V47:W47"/>
    <mergeCell ref="V48:W48"/>
    <mergeCell ref="T43:U43"/>
    <mergeCell ref="N20:Y20"/>
    <mergeCell ref="S25:T25"/>
    <mergeCell ref="S24:T24"/>
    <mergeCell ref="S27:T27"/>
    <mergeCell ref="S28:T28"/>
    <mergeCell ref="S37:T37"/>
    <mergeCell ref="S36:T36"/>
    <mergeCell ref="S34:T34"/>
    <mergeCell ref="S33:T33"/>
    <mergeCell ref="S31:T31"/>
    <mergeCell ref="S30:T30"/>
    <mergeCell ref="N41:Y41"/>
    <mergeCell ref="E96:G96"/>
    <mergeCell ref="H96:V96"/>
    <mergeCell ref="E95:G95"/>
    <mergeCell ref="H95:V95"/>
    <mergeCell ref="J93:V93"/>
    <mergeCell ref="T7:X7"/>
    <mergeCell ref="T13:X13"/>
    <mergeCell ref="T15:X15"/>
    <mergeCell ref="T18:U18"/>
    <mergeCell ref="U39:V39"/>
    <mergeCell ref="E94:G94"/>
    <mergeCell ref="H94:V94"/>
    <mergeCell ref="E91:V91"/>
    <mergeCell ref="U29:V29"/>
    <mergeCell ref="U35:V35"/>
    <mergeCell ref="U32:V32"/>
    <mergeCell ref="B92:I92"/>
    <mergeCell ref="B93:I93"/>
    <mergeCell ref="H14:I14"/>
    <mergeCell ref="V44:W44"/>
    <mergeCell ref="V45:W45"/>
    <mergeCell ref="J92:V92"/>
    <mergeCell ref="U54:V54"/>
    <mergeCell ref="U53:V53"/>
    <mergeCell ref="DG38:DL38"/>
    <mergeCell ref="O12:P12"/>
    <mergeCell ref="BJ3:BL3"/>
    <mergeCell ref="CK10:CK13"/>
    <mergeCell ref="AE9:AI9"/>
    <mergeCell ref="U23:V23"/>
    <mergeCell ref="K14:L14"/>
    <mergeCell ref="O22:V22"/>
    <mergeCell ref="O17:R17"/>
    <mergeCell ref="CV30:DA30"/>
    <mergeCell ref="T10:U10"/>
    <mergeCell ref="V12:W12"/>
    <mergeCell ref="T12:U12"/>
    <mergeCell ref="O30:R30"/>
    <mergeCell ref="T3:Y3"/>
    <mergeCell ref="N6:T6"/>
    <mergeCell ref="AC2:AV3"/>
    <mergeCell ref="AC34:AC43"/>
    <mergeCell ref="AC32:AC33"/>
    <mergeCell ref="AC14:AV14"/>
    <mergeCell ref="AU11:AV11"/>
    <mergeCell ref="AU12:AV12"/>
    <mergeCell ref="AM11:AR11"/>
    <mergeCell ref="DG30:DL30"/>
    <mergeCell ref="A1:M1"/>
    <mergeCell ref="N1:O1"/>
    <mergeCell ref="E3:S3"/>
    <mergeCell ref="E2:S2"/>
    <mergeCell ref="P1:S1"/>
    <mergeCell ref="N5:T5"/>
    <mergeCell ref="O11:R11"/>
    <mergeCell ref="Y22:Y40"/>
    <mergeCell ref="A2:C2"/>
    <mergeCell ref="A3:C3"/>
    <mergeCell ref="T1:Y1"/>
    <mergeCell ref="T2:Y2"/>
    <mergeCell ref="O28:R28"/>
    <mergeCell ref="S38:T38"/>
    <mergeCell ref="O18:P18"/>
    <mergeCell ref="T17:X17"/>
    <mergeCell ref="T16:U16"/>
    <mergeCell ref="O25:R25"/>
    <mergeCell ref="O27:R27"/>
    <mergeCell ref="M4:X4"/>
    <mergeCell ref="U5:X5"/>
    <mergeCell ref="W6:X6"/>
    <mergeCell ref="U6:V6"/>
    <mergeCell ref="B12:G12"/>
    <mergeCell ref="CV19:DD19"/>
    <mergeCell ref="CB27:CF27"/>
    <mergeCell ref="CB28:CF28"/>
    <mergeCell ref="CO30:CR30"/>
    <mergeCell ref="CL10:CL13"/>
    <mergeCell ref="CN13:CO13"/>
    <mergeCell ref="CN18:CO18"/>
    <mergeCell ref="DG18:DL18"/>
    <mergeCell ref="F6:K6"/>
    <mergeCell ref="F8:K8"/>
    <mergeCell ref="O9:R9"/>
    <mergeCell ref="T9:X9"/>
    <mergeCell ref="O13:R13"/>
    <mergeCell ref="O15:R15"/>
    <mergeCell ref="O24:R24"/>
    <mergeCell ref="AB19:AB50"/>
    <mergeCell ref="O14:P14"/>
    <mergeCell ref="O48:P48"/>
    <mergeCell ref="Q48:R48"/>
    <mergeCell ref="Q49:R49"/>
    <mergeCell ref="Q46:R46"/>
    <mergeCell ref="V43:W43"/>
    <mergeCell ref="T14:U14"/>
    <mergeCell ref="O16:P16"/>
    <mergeCell ref="BJ4:BL4"/>
    <mergeCell ref="C10:D10"/>
    <mergeCell ref="C11:D11"/>
    <mergeCell ref="BT6:BX6"/>
    <mergeCell ref="BT7:BX7"/>
    <mergeCell ref="BW10:BX10"/>
    <mergeCell ref="K11:L11"/>
    <mergeCell ref="I11:J11"/>
    <mergeCell ref="O10:P10"/>
    <mergeCell ref="T8:U8"/>
    <mergeCell ref="AE10:AI10"/>
    <mergeCell ref="AE11:AI11"/>
    <mergeCell ref="BJ6:BM7"/>
    <mergeCell ref="AE7:AI7"/>
    <mergeCell ref="AE6:AI6"/>
    <mergeCell ref="BJ5:BK5"/>
    <mergeCell ref="AM9:AR9"/>
    <mergeCell ref="AS9:AT9"/>
    <mergeCell ref="AU9:AV9"/>
    <mergeCell ref="AC4:AV4"/>
    <mergeCell ref="F10:M10"/>
  </mergeCells>
  <phoneticPr fontId="0" type="noConversion"/>
  <conditionalFormatting sqref="X48 Y45:AA45">
    <cfRule type="expression" dxfId="45" priority="1" stopIfTrue="1">
      <formula>$EF$45=1</formula>
    </cfRule>
  </conditionalFormatting>
  <conditionalFormatting sqref="T45 V45 Y42:AA42">
    <cfRule type="expression" dxfId="44" priority="2" stopIfTrue="1">
      <formula>$EF$42=1</formula>
    </cfRule>
  </conditionalFormatting>
  <conditionalFormatting sqref="T44 V44 Z41:AA41">
    <cfRule type="expression" dxfId="43" priority="3" stopIfTrue="1">
      <formula>$EF$41=1</formula>
    </cfRule>
  </conditionalFormatting>
  <conditionalFormatting sqref="W16:X16">
    <cfRule type="expression" dxfId="42" priority="4" stopIfTrue="1">
      <formula>$EF$17=1</formula>
    </cfRule>
  </conditionalFormatting>
  <conditionalFormatting sqref="U23:X23">
    <cfRule type="expression" dxfId="41" priority="7" stopIfTrue="1">
      <formula>$EF$23=1</formula>
    </cfRule>
  </conditionalFormatting>
  <conditionalFormatting sqref="X24">
    <cfRule type="expression" dxfId="40" priority="8" stopIfTrue="1">
      <formula>$EF$24=1</formula>
    </cfRule>
  </conditionalFormatting>
  <conditionalFormatting sqref="X25">
    <cfRule type="expression" dxfId="39" priority="9" stopIfTrue="1">
      <formula>$EF$25=1</formula>
    </cfRule>
  </conditionalFormatting>
  <conditionalFormatting sqref="X26">
    <cfRule type="expression" dxfId="38" priority="10" stopIfTrue="1">
      <formula>$EF$26=1</formula>
    </cfRule>
  </conditionalFormatting>
  <conditionalFormatting sqref="W27:X27">
    <cfRule type="expression" dxfId="37" priority="11" stopIfTrue="1">
      <formula>$EF$27=1</formula>
    </cfRule>
  </conditionalFormatting>
  <conditionalFormatting sqref="W28:X28">
    <cfRule type="expression" dxfId="36" priority="12" stopIfTrue="1">
      <formula>$EF$28=1</formula>
    </cfRule>
  </conditionalFormatting>
  <conditionalFormatting sqref="U29:X29">
    <cfRule type="expression" dxfId="35" priority="13" stopIfTrue="1">
      <formula>$EF$29=1</formula>
    </cfRule>
  </conditionalFormatting>
  <conditionalFormatting sqref="W30:X30">
    <cfRule type="expression" dxfId="34" priority="14" stopIfTrue="1">
      <formula>$EF$30=1</formula>
    </cfRule>
  </conditionalFormatting>
  <conditionalFormatting sqref="W31">
    <cfRule type="expression" dxfId="33" priority="15" stopIfTrue="1">
      <formula>$EF$31=1</formula>
    </cfRule>
  </conditionalFormatting>
  <conditionalFormatting sqref="U32:W32">
    <cfRule type="expression" dxfId="32" priority="16" stopIfTrue="1">
      <formula>$EF$32=1</formula>
    </cfRule>
  </conditionalFormatting>
  <conditionalFormatting sqref="W33">
    <cfRule type="expression" dxfId="31" priority="17" stopIfTrue="1">
      <formula>$EF$33=1</formula>
    </cfRule>
  </conditionalFormatting>
  <conditionalFormatting sqref="W34">
    <cfRule type="expression" dxfId="30" priority="18" stopIfTrue="1">
      <formula>$EF$34=1</formula>
    </cfRule>
  </conditionalFormatting>
  <conditionalFormatting sqref="U35:W35">
    <cfRule type="expression" dxfId="29" priority="19" stopIfTrue="1">
      <formula>$EF$35=1</formula>
    </cfRule>
  </conditionalFormatting>
  <conditionalFormatting sqref="W38">
    <cfRule type="expression" dxfId="28" priority="22" stopIfTrue="1">
      <formula>$EF$38=1</formula>
    </cfRule>
  </conditionalFormatting>
  <conditionalFormatting sqref="U39:W39">
    <cfRule type="expression" dxfId="27" priority="23" stopIfTrue="1">
      <formula>$EF$39=1</formula>
    </cfRule>
  </conditionalFormatting>
  <conditionalFormatting sqref="S18">
    <cfRule type="expression" dxfId="26" priority="43" stopIfTrue="1">
      <formula>$DJ$47=0</formula>
    </cfRule>
  </conditionalFormatting>
  <conditionalFormatting sqref="N10">
    <cfRule type="expression" dxfId="25" priority="44" stopIfTrue="1">
      <formula>$O$10&gt;0</formula>
    </cfRule>
  </conditionalFormatting>
  <conditionalFormatting sqref="N12">
    <cfRule type="expression" dxfId="24" priority="45" stopIfTrue="1">
      <formula>$O$12&gt;0</formula>
    </cfRule>
  </conditionalFormatting>
  <conditionalFormatting sqref="N14">
    <cfRule type="expression" dxfId="23" priority="46" stopIfTrue="1">
      <formula>$O$14&gt;0</formula>
    </cfRule>
  </conditionalFormatting>
  <conditionalFormatting sqref="N16">
    <cfRule type="expression" dxfId="22" priority="47" stopIfTrue="1">
      <formula>$O$16&gt;0</formula>
    </cfRule>
  </conditionalFormatting>
  <conditionalFormatting sqref="N18">
    <cfRule type="expression" dxfId="21" priority="48" stopIfTrue="1">
      <formula>$O$18&gt;0</formula>
    </cfRule>
  </conditionalFormatting>
  <conditionalFormatting sqref="Y21:AA21">
    <cfRule type="expression" dxfId="20" priority="246" stopIfTrue="1">
      <formula>$EF$21=1</formula>
    </cfRule>
  </conditionalFormatting>
  <conditionalFormatting sqref="W22:AA22">
    <cfRule type="expression" dxfId="19" priority="248" stopIfTrue="1">
      <formula>$EF$22=1</formula>
    </cfRule>
  </conditionalFormatting>
  <conditionalFormatting sqref="Y43:AA43">
    <cfRule type="expression" dxfId="18" priority="250" stopIfTrue="1">
      <formula>$EF$43=1</formula>
    </cfRule>
  </conditionalFormatting>
  <conditionalFormatting sqref="Y44:AA44">
    <cfRule type="expression" dxfId="17" priority="252" stopIfTrue="1">
      <formula>$EF$44=1</formula>
    </cfRule>
  </conditionalFormatting>
  <conditionalFormatting sqref="Y46:AA46">
    <cfRule type="expression" dxfId="16" priority="254" stopIfTrue="1">
      <formula>$EF$46=1</formula>
    </cfRule>
  </conditionalFormatting>
  <conditionalFormatting sqref="Y47:AA47">
    <cfRule type="expression" dxfId="15" priority="256" stopIfTrue="1">
      <formula>$EF$47=1</formula>
    </cfRule>
  </conditionalFormatting>
  <conditionalFormatting sqref="Y48:AA48">
    <cfRule type="expression" dxfId="14" priority="258" stopIfTrue="1">
      <formula>$EF$48=1</formula>
    </cfRule>
  </conditionalFormatting>
  <conditionalFormatting sqref="Y49:AA49">
    <cfRule type="expression" dxfId="13" priority="260" stopIfTrue="1">
      <formula>$EF$49=1</formula>
    </cfRule>
  </conditionalFormatting>
  <conditionalFormatting sqref="Y50:AA50">
    <cfRule type="expression" dxfId="12" priority="262" stopIfTrue="1">
      <formula>$EF$50=1</formula>
    </cfRule>
  </conditionalFormatting>
  <conditionalFormatting sqref="Z51:AA51">
    <cfRule type="expression" dxfId="11" priority="264" stopIfTrue="1">
      <formula>$EF$51=1</formula>
    </cfRule>
  </conditionalFormatting>
  <conditionalFormatting sqref="Z52:AA52">
    <cfRule type="expression" dxfId="10" priority="266" stopIfTrue="1">
      <formula>$EF$52=1</formula>
    </cfRule>
  </conditionalFormatting>
  <conditionalFormatting sqref="U53:AA53">
    <cfRule type="expression" dxfId="9" priority="268" stopIfTrue="1">
      <formula>$EF$53=1</formula>
    </cfRule>
  </conditionalFormatting>
  <conditionalFormatting sqref="U54:AA54">
    <cfRule type="expression" dxfId="8" priority="270" stopIfTrue="1">
      <formula>$EF$54=1</formula>
    </cfRule>
  </conditionalFormatting>
  <conditionalFormatting sqref="U55:AA55">
    <cfRule type="expression" dxfId="7" priority="272" stopIfTrue="1">
      <formula>$EF$55=1</formula>
    </cfRule>
  </conditionalFormatting>
  <conditionalFormatting sqref="U56:AA56">
    <cfRule type="expression" dxfId="6" priority="274" stopIfTrue="1">
      <formula>$EF$56=1</formula>
    </cfRule>
  </conditionalFormatting>
  <conditionalFormatting sqref="U57:AA57">
    <cfRule type="expression" dxfId="5" priority="276" stopIfTrue="1">
      <formula>$EF$57=1</formula>
    </cfRule>
  </conditionalFormatting>
  <conditionalFormatting sqref="U58:AA58">
    <cfRule type="expression" dxfId="4" priority="278" stopIfTrue="1">
      <formula>$EF$58=1</formula>
    </cfRule>
  </conditionalFormatting>
  <conditionalFormatting sqref="U59:AA59">
    <cfRule type="expression" dxfId="3" priority="280" stopIfTrue="1">
      <formula>$EF$59=1</formula>
    </cfRule>
  </conditionalFormatting>
  <conditionalFormatting sqref="U60:AA60">
    <cfRule type="expression" dxfId="2" priority="282" stopIfTrue="1">
      <formula>$EF$60=1</formula>
    </cfRule>
  </conditionalFormatting>
  <conditionalFormatting sqref="U61:AA61">
    <cfRule type="expression" dxfId="1" priority="284" stopIfTrue="1">
      <formula>$EF$61=1</formula>
    </cfRule>
  </conditionalFormatting>
  <conditionalFormatting sqref="M6">
    <cfRule type="expression" dxfId="0" priority="285" stopIfTrue="1">
      <formula>$DF$29=0</formula>
    </cfRule>
  </conditionalFormatting>
  <dataValidations xWindow="378" yWindow="357" count="17">
    <dataValidation type="decimal" showInputMessage="1" showErrorMessage="1" error="Verifique se a carga de tração na fundação atende a essa solicitação" sqref="O12:P12" xr:uid="{00000000-0002-0000-0000-000000000000}">
      <formula1>O14</formula1>
      <formula2>500</formula2>
    </dataValidation>
    <dataValidation type="decimal" allowBlank="1" showInputMessage="1" showErrorMessage="1" error="Verifique se o atrito latereal da fundação atende a essa solicitação" sqref="O14:P14" xr:uid="{00000000-0002-0000-0000-000001000000}">
      <formula1>0</formula1>
      <formula2>O12</formula2>
    </dataValidation>
    <dataValidation type="custom" allowBlank="1" showInputMessage="1" showErrorMessage="1" error="Para cobrimento do aço, o diâmetro da estaca deverá respeitar os limites de &quot;da/db&quot; entre 0,75 e 0,95. Tente um cobrimento diferente e verifique na parte inferior do programa a relação &quot;da/db&quot;." sqref="T18:U18" xr:uid="{00000000-0002-0000-0000-000002000000}">
      <formula1>DJ47&gt;0</formula1>
    </dataValidation>
    <dataValidation type="list" allowBlank="1" showInputMessage="1" showErrorMessage="1" sqref="T16:U16" xr:uid="{00000000-0002-0000-0000-000003000000}">
      <formula1>$CU$6:$CU$13</formula1>
    </dataValidation>
    <dataValidation type="list" allowBlank="1" showInputMessage="1" showErrorMessage="1" sqref="X16" xr:uid="{00000000-0002-0000-0000-000004000000}">
      <formula1>$CW$6:$CW$8</formula1>
    </dataValidation>
    <dataValidation type="list" allowBlank="1" showInputMessage="1" showErrorMessage="1" sqref="T14" xr:uid="{00000000-0002-0000-0000-000005000000}">
      <formula1>$CV$6:$CV$14</formula1>
    </dataValidation>
    <dataValidation type="decimal" allowBlank="1" showInputMessage="1" showErrorMessage="1" sqref="T10:U10" xr:uid="{00000000-0002-0000-0000-000006000000}">
      <formula1>3</formula1>
      <formula2>49</formula2>
    </dataValidation>
    <dataValidation type="decimal" allowBlank="1" showInputMessage="1" showErrorMessage="1" error="Utilize valores maiores ou iguais a 10 cm e menores que 400" sqref="T8:U8" xr:uid="{00000000-0002-0000-0000-000007000000}">
      <formula1>10</formula1>
      <formula2>400</formula2>
    </dataValidation>
    <dataValidation type="whole" allowBlank="1" showInputMessage="1" showErrorMessage="1" error="Utilize apenas números inteiros" sqref="CT5" xr:uid="{00000000-0002-0000-0000-000008000000}">
      <formula1>0</formula1>
      <formula2>49</formula2>
    </dataValidation>
    <dataValidation type="decimal" allowBlank="1" showInputMessage="1" showErrorMessage="1" error="Utilize valores em tf " sqref="O10:P10" xr:uid="{00000000-0002-0000-0000-000009000000}">
      <formula1>0</formula1>
      <formula2>900</formula2>
    </dataValidation>
    <dataValidation type="decimal" allowBlank="1" showInputMessage="1" showErrorMessage="1" error="Utilize valores em Kgf.m, acima de 100 e menor ou igual a 200 000 kgf." sqref="O16:P16" xr:uid="{00000000-0002-0000-0000-00000A000000}">
      <formula1>100</formula1>
      <formula2>200000</formula2>
    </dataValidation>
    <dataValidation type="decimal" allowBlank="1" showInputMessage="1" showErrorMessage="1" sqref="O18:P18" xr:uid="{00000000-0002-0000-0000-00000B000000}">
      <formula1>0</formula1>
      <formula2>600</formula2>
    </dataValidation>
    <dataValidation type="decimal" allowBlank="1" showInputMessage="1" showErrorMessage="1" sqref="T12:U12" xr:uid="{00000000-0002-0000-0000-00000C000000}">
      <formula1>50</formula1>
      <formula2>1000</formula2>
    </dataValidation>
    <dataValidation type="list" allowBlank="1" showInputMessage="1" showErrorMessage="1" error="Selecione um dos ítens da lista" sqref="AE9:AI9" xr:uid="{00000000-0002-0000-0000-00000D000000}">
      <formula1>$CB$27:$CB$28</formula1>
    </dataValidation>
    <dataValidation type="list" allowBlank="1" showInputMessage="1" showErrorMessage="1" error="Selecione um dos ítens da lista" sqref="AE7:AI7" xr:uid="{00000000-0002-0000-0000-00000E000000}">
      <formula1>$CB$14:$CB$22</formula1>
    </dataValidation>
    <dataValidation type="list" allowBlank="1" showInputMessage="1" showErrorMessage="1" sqref="W6:X6" xr:uid="{00000000-0002-0000-0000-00000F000000}">
      <formula1>$BL$19:$BL$22</formula1>
    </dataValidation>
    <dataValidation type="list" allowBlank="1" showInputMessage="1" showErrorMessage="1" sqref="N6:T6" xr:uid="{00000000-0002-0000-0000-000010000000}">
      <formula1>$CV$20:$CV$28</formula1>
    </dataValidation>
  </dataValidations>
  <pageMargins left="0.19685039370078741" right="0.19685039370078741" top="0.39370078740157483" bottom="0.39370078740157483" header="0.51181102362204722" footer="0.51181102362204722"/>
  <pageSetup paperSize="9" pageOrder="overThenDown" orientation="portrait" horizontalDpi="300" verticalDpi="300" r:id="rId11"/>
  <headerFooter alignWithMargins="0"/>
  <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1"/>
  </sheetPr>
  <dimension ref="C3:Q37"/>
  <sheetViews>
    <sheetView workbookViewId="0">
      <selection activeCell="G6" sqref="G6"/>
    </sheetView>
  </sheetViews>
  <sheetFormatPr defaultColWidth="9.109375" defaultRowHeight="13.2" x14ac:dyDescent="0.25"/>
  <cols>
    <col min="1" max="4" width="9.109375" style="85"/>
    <col min="5" max="5" width="9.5546875" style="85" bestFit="1" customWidth="1"/>
    <col min="6" max="16384" width="9.109375" style="85"/>
  </cols>
  <sheetData>
    <row r="3" spans="3:17" x14ac:dyDescent="0.25">
      <c r="C3" s="624" t="s">
        <v>77</v>
      </c>
      <c r="D3" s="624"/>
      <c r="E3" s="624"/>
      <c r="F3" s="624"/>
      <c r="G3" s="624"/>
      <c r="H3" s="624"/>
      <c r="I3" s="624"/>
      <c r="J3" s="624"/>
      <c r="K3" s="625"/>
    </row>
    <row r="4" spans="3:17" x14ac:dyDescent="0.25">
      <c r="C4" s="624" t="s">
        <v>92</v>
      </c>
      <c r="D4" s="624"/>
      <c r="E4" s="624"/>
      <c r="F4" s="624"/>
      <c r="G4" s="624"/>
      <c r="H4" s="624"/>
      <c r="I4" s="624"/>
      <c r="J4" s="624"/>
      <c r="K4" s="625"/>
    </row>
    <row r="6" spans="3:17" x14ac:dyDescent="0.25">
      <c r="C6" s="620" t="s">
        <v>78</v>
      </c>
      <c r="D6" s="620"/>
      <c r="E6" s="620"/>
      <c r="F6" s="86"/>
      <c r="G6" s="87">
        <v>125000</v>
      </c>
      <c r="H6" s="88" t="s">
        <v>70</v>
      </c>
      <c r="I6" s="615" t="s">
        <v>91</v>
      </c>
      <c r="J6" s="616"/>
      <c r="K6" s="616"/>
      <c r="L6" s="616"/>
      <c r="M6" s="616"/>
      <c r="N6" s="616"/>
      <c r="O6" s="616"/>
      <c r="P6" s="616"/>
    </row>
    <row r="7" spans="3:17" x14ac:dyDescent="0.25">
      <c r="C7" s="620" t="s">
        <v>79</v>
      </c>
      <c r="D7" s="620"/>
      <c r="E7" s="620"/>
      <c r="F7" s="86"/>
      <c r="G7" s="89">
        <v>50</v>
      </c>
      <c r="H7" s="88" t="s">
        <v>5</v>
      </c>
      <c r="I7" s="615" t="s">
        <v>90</v>
      </c>
      <c r="J7" s="616"/>
      <c r="K7" s="616"/>
      <c r="L7" s="616"/>
      <c r="M7" s="616"/>
      <c r="N7" s="616"/>
      <c r="O7" s="616"/>
      <c r="P7" s="616"/>
      <c r="Q7" s="616"/>
    </row>
    <row r="8" spans="3:17" x14ac:dyDescent="0.25">
      <c r="C8" s="620" t="s">
        <v>88</v>
      </c>
      <c r="D8" s="620"/>
      <c r="E8" s="620"/>
      <c r="F8" s="86"/>
      <c r="G8" s="87">
        <v>60000</v>
      </c>
      <c r="H8" s="88" t="s">
        <v>80</v>
      </c>
      <c r="I8" s="615" t="s">
        <v>87</v>
      </c>
      <c r="J8" s="616"/>
      <c r="K8" s="616"/>
      <c r="L8" s="616"/>
      <c r="M8" s="616"/>
      <c r="N8" s="616"/>
      <c r="O8" s="616"/>
      <c r="P8" s="616"/>
      <c r="Q8" s="97"/>
    </row>
    <row r="9" spans="3:17" x14ac:dyDescent="0.25">
      <c r="C9" s="620" t="s">
        <v>81</v>
      </c>
      <c r="D9" s="620"/>
      <c r="E9" s="620"/>
      <c r="F9" s="86"/>
      <c r="G9" s="90">
        <v>18</v>
      </c>
      <c r="H9" s="88" t="s">
        <v>1</v>
      </c>
      <c r="I9" s="615" t="s">
        <v>89</v>
      </c>
      <c r="J9" s="616"/>
      <c r="K9" s="616"/>
      <c r="L9" s="616"/>
      <c r="M9" s="616"/>
      <c r="N9" s="616"/>
      <c r="O9" s="616"/>
      <c r="P9" s="616"/>
      <c r="Q9" s="97"/>
    </row>
    <row r="10" spans="3:17" x14ac:dyDescent="0.25">
      <c r="C10" s="98"/>
      <c r="D10" s="98"/>
      <c r="E10" s="98"/>
      <c r="F10" s="86"/>
      <c r="G10" s="88"/>
      <c r="H10" s="88"/>
      <c r="I10" s="92"/>
      <c r="J10" s="97"/>
      <c r="K10" s="97"/>
      <c r="L10" s="97"/>
      <c r="M10" s="97"/>
      <c r="N10" s="97"/>
      <c r="O10" s="97"/>
      <c r="P10" s="97"/>
      <c r="Q10" s="97"/>
    </row>
    <row r="11" spans="3:17" x14ac:dyDescent="0.25">
      <c r="C11" s="620" t="s">
        <v>82</v>
      </c>
      <c r="D11" s="620"/>
      <c r="E11" s="620"/>
      <c r="F11" s="86"/>
      <c r="G11" s="91">
        <f>G6/((PI()*(G7*G7))/4)</f>
        <v>63.661977236758133</v>
      </c>
      <c r="H11" s="88" t="s">
        <v>83</v>
      </c>
      <c r="I11" s="615" t="s">
        <v>86</v>
      </c>
      <c r="J11" s="616"/>
      <c r="K11" s="616"/>
      <c r="L11" s="616"/>
      <c r="M11" s="616"/>
      <c r="N11" s="97"/>
      <c r="O11" s="97"/>
      <c r="P11" s="97"/>
      <c r="Q11" s="97"/>
    </row>
    <row r="12" spans="3:17" x14ac:dyDescent="0.25">
      <c r="C12" s="620" t="s">
        <v>84</v>
      </c>
      <c r="D12" s="620"/>
      <c r="E12" s="620"/>
      <c r="F12" s="86"/>
      <c r="G12" s="91">
        <f>(PI()*(G7*G7))/4</f>
        <v>1963.4954084936207</v>
      </c>
      <c r="H12" s="88" t="s">
        <v>29</v>
      </c>
      <c r="I12" s="92"/>
      <c r="J12" s="97"/>
      <c r="K12" s="97"/>
      <c r="L12" s="97"/>
      <c r="M12" s="97"/>
      <c r="N12" s="97"/>
      <c r="O12" s="97"/>
      <c r="P12" s="97"/>
      <c r="Q12" s="97"/>
    </row>
    <row r="13" spans="3:17" x14ac:dyDescent="0.25">
      <c r="C13" s="621"/>
      <c r="D13" s="621"/>
      <c r="E13" s="86"/>
      <c r="F13" s="86"/>
      <c r="G13" s="93">
        <f>G6-(50*G12)</f>
        <v>26825.229575318968</v>
      </c>
      <c r="H13" s="88"/>
      <c r="I13" s="92"/>
      <c r="J13" s="97"/>
      <c r="K13" s="97"/>
      <c r="L13" s="97"/>
      <c r="M13" s="97"/>
      <c r="N13" s="97"/>
      <c r="O13" s="97"/>
      <c r="P13" s="97"/>
      <c r="Q13" s="97"/>
    </row>
    <row r="14" spans="3:17" ht="15.6" x14ac:dyDescent="0.3">
      <c r="C14" s="622" t="s">
        <v>85</v>
      </c>
      <c r="D14" s="622"/>
      <c r="E14" s="623"/>
      <c r="F14" s="623"/>
      <c r="G14" s="94">
        <f>IF(G11&gt;50,(G9/G8)*G13,"zero")</f>
        <v>8.04756887259569</v>
      </c>
      <c r="H14" s="95" t="s">
        <v>1</v>
      </c>
      <c r="I14" s="617" t="s">
        <v>93</v>
      </c>
      <c r="J14" s="618"/>
      <c r="K14" s="618"/>
      <c r="L14" s="618"/>
      <c r="M14" s="618"/>
      <c r="N14" s="619"/>
      <c r="O14" s="619"/>
      <c r="P14" s="619"/>
      <c r="Q14" s="97"/>
    </row>
    <row r="15" spans="3:17" ht="15.6" x14ac:dyDescent="0.3">
      <c r="C15" s="623"/>
      <c r="D15" s="623"/>
      <c r="E15" s="623"/>
      <c r="F15" s="623"/>
      <c r="G15" s="96"/>
      <c r="H15" s="96"/>
      <c r="I15" s="618"/>
      <c r="J15" s="618"/>
      <c r="K15" s="618"/>
      <c r="L15" s="618"/>
      <c r="M15" s="618"/>
      <c r="N15" s="619"/>
      <c r="O15" s="619"/>
      <c r="P15" s="619"/>
      <c r="Q15" s="97"/>
    </row>
    <row r="16" spans="3:17" x14ac:dyDescent="0.25">
      <c r="I16" s="618"/>
      <c r="J16" s="618"/>
      <c r="K16" s="618"/>
      <c r="L16" s="618"/>
      <c r="M16" s="618"/>
      <c r="N16" s="619"/>
      <c r="O16" s="619"/>
      <c r="P16" s="619"/>
      <c r="Q16" s="97"/>
    </row>
    <row r="23" spans="4:8" x14ac:dyDescent="0.25">
      <c r="D23" s="612"/>
      <c r="E23" s="612"/>
      <c r="F23" s="613"/>
      <c r="G23" s="613"/>
      <c r="H23" s="614"/>
    </row>
    <row r="24" spans="4:8" x14ac:dyDescent="0.25">
      <c r="D24" s="613"/>
      <c r="E24" s="613"/>
      <c r="F24" s="613"/>
      <c r="G24" s="613"/>
      <c r="H24" s="614"/>
    </row>
    <row r="25" spans="4:8" x14ac:dyDescent="0.25">
      <c r="D25" s="614"/>
      <c r="E25" s="614"/>
      <c r="F25" s="614"/>
      <c r="G25" s="614"/>
      <c r="H25" s="614"/>
    </row>
    <row r="26" spans="4:8" x14ac:dyDescent="0.25">
      <c r="D26" s="614"/>
      <c r="E26" s="614"/>
      <c r="F26" s="614"/>
      <c r="G26" s="614"/>
      <c r="H26" s="614"/>
    </row>
    <row r="27" spans="4:8" x14ac:dyDescent="0.25">
      <c r="D27" s="614"/>
      <c r="E27" s="614"/>
      <c r="F27" s="614"/>
      <c r="G27" s="614"/>
      <c r="H27" s="614"/>
    </row>
    <row r="28" spans="4:8" x14ac:dyDescent="0.25">
      <c r="D28" s="614"/>
      <c r="E28" s="614"/>
      <c r="F28" s="614"/>
      <c r="G28" s="614"/>
      <c r="H28" s="614"/>
    </row>
    <row r="29" spans="4:8" x14ac:dyDescent="0.25">
      <c r="D29" s="614"/>
      <c r="E29" s="614"/>
      <c r="F29" s="614"/>
      <c r="G29" s="614"/>
      <c r="H29" s="614"/>
    </row>
    <row r="30" spans="4:8" x14ac:dyDescent="0.25">
      <c r="D30" s="614"/>
      <c r="E30" s="614"/>
      <c r="F30" s="614"/>
      <c r="G30" s="614"/>
      <c r="H30" s="614"/>
    </row>
    <row r="36" spans="4:7" x14ac:dyDescent="0.25">
      <c r="D36" s="612"/>
      <c r="E36" s="612"/>
      <c r="F36" s="613"/>
      <c r="G36" s="613"/>
    </row>
    <row r="37" spans="4:7" x14ac:dyDescent="0.25">
      <c r="D37" s="613"/>
      <c r="E37" s="613"/>
      <c r="F37" s="613"/>
      <c r="G37" s="613"/>
    </row>
  </sheetData>
  <sheetProtection password="CE10" sheet="1" objects="1" scenarios="1"/>
  <customSheetViews>
    <customSheetView guid="{832708E3-AF11-4CE3-850A-D7F51F4C3C12}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1"/>
      <headerFooter alignWithMargins="0"/>
    </customSheetView>
    <customSheetView guid="{E80248EA-EF1F-44D6-8644-3F36D4D9BE6D}">
      <selection activeCell="G9" sqref="G9"/>
      <pageMargins left="0.78740157499999996" right="0.78740157499999996" top="0.984251969" bottom="0.984251969" header="0.49212598499999999" footer="0.49212598499999999"/>
      <pageSetup paperSize="9" orientation="portrait" r:id="rId2"/>
      <headerFooter alignWithMargins="0"/>
    </customSheetView>
    <customSheetView guid="{438C87CC-A6DA-4739-A9B4-07154B9743D1}" showRuler="0" topLeftCell="B1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3"/>
      <headerFooter alignWithMargins="0"/>
    </customSheetView>
    <customSheetView guid="{2E2E5DB7-CA42-4BBC-B021-0A198E008C5E}" showRuler="0" topLeftCell="B1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4"/>
      <headerFooter alignWithMargins="0"/>
    </customSheetView>
    <customSheetView guid="{66845537-EC82-4EBF-9919-7F98C7CC2A55}">
      <selection activeCell="G6" sqref="G6"/>
      <pageMargins left="0.78740157499999996" right="0.78740157499999996" top="0.984251969" bottom="0.984251969" header="0.49212598499999999" footer="0.49212598499999999"/>
      <pageSetup paperSize="9" orientation="portrait" r:id="rId5"/>
      <headerFooter alignWithMargins="0"/>
    </customSheetView>
  </customSheetViews>
  <mergeCells count="18">
    <mergeCell ref="C4:K4"/>
    <mergeCell ref="C3:K3"/>
    <mergeCell ref="C11:E11"/>
    <mergeCell ref="I11:M11"/>
    <mergeCell ref="C6:E6"/>
    <mergeCell ref="C7:E7"/>
    <mergeCell ref="I7:Q7"/>
    <mergeCell ref="I6:P6"/>
    <mergeCell ref="D23:H30"/>
    <mergeCell ref="D36:G37"/>
    <mergeCell ref="I8:P8"/>
    <mergeCell ref="I9:P9"/>
    <mergeCell ref="I14:P16"/>
    <mergeCell ref="C12:E12"/>
    <mergeCell ref="C13:D13"/>
    <mergeCell ref="C14:F15"/>
    <mergeCell ref="C8:E8"/>
    <mergeCell ref="C9:E9"/>
  </mergeCells>
  <phoneticPr fontId="23" type="noConversion"/>
  <dataValidations count="4">
    <dataValidation type="decimal" operator="greaterThan" allowBlank="1" showInputMessage="1" showErrorMessage="1" error="Utilize valores em Kg acima de 1000, ex: 80.000" sqref="G6" xr:uid="{00000000-0002-0000-0100-000000000000}">
      <formula1>1000</formula1>
    </dataValidation>
    <dataValidation type="decimal" allowBlank="1" showInputMessage="1" showErrorMessage="1" error="Utilize valores em cm entre 10 e 300, ex: 60" sqref="G7" xr:uid="{00000000-0002-0000-0100-000001000000}">
      <formula1>10</formula1>
      <formula2>300</formula2>
    </dataValidation>
    <dataValidation type="decimal" allowBlank="1" showInputMessage="1" showErrorMessage="1" error="Utilize valores em metros entre 3 e 49, ex: 20m" sqref="G9" xr:uid="{00000000-0002-0000-0100-000002000000}">
      <formula1>3</formula1>
      <formula2>49</formula2>
    </dataValidation>
    <dataValidation type="decimal" operator="greaterThan" allowBlank="1" showInputMessage="1" showErrorMessage="1" error="Utilize valores em Kg acima de 1000, ex: 30.000" sqref="G8" xr:uid="{00000000-0002-0000-0100-000003000000}">
      <formula1>1000</formula1>
    </dataValidation>
  </dataValidations>
  <pageMargins left="0.78740157499999996" right="0.78740157499999996" top="0.984251969" bottom="0.984251969" header="0.49212598499999999" footer="0.49212598499999999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Estaca armada</vt:lpstr>
      <vt:lpstr>Armação compressão</vt:lpstr>
      <vt:lpstr>'Estaca armada'!Area_de_impressao</vt:lpstr>
    </vt:vector>
  </TitlesOfParts>
  <LinksUpToDate>false</LinksUpToDate>
  <SharedDoc>false</SharedDoc>
  <HyperlinkBase>www.sitengenharia.com.br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Cálculo dimensionamento de estaca armada</dc:title>
  <dc:creator>Eng. Célio Márcio Magalhães</dc:creator>
  <cp:lastModifiedBy>Leandro Bertaco Lúcio</cp:lastModifiedBy>
  <cp:lastPrinted>2012-12-18T04:28:10Z</cp:lastPrinted>
  <dcterms:created xsi:type="dcterms:W3CDTF">2002-07-19T19:14:13Z</dcterms:created>
  <dcterms:modified xsi:type="dcterms:W3CDTF">2023-06-07T01:39:44Z</dcterms:modified>
  <cp:category>Engenharia</cp:category>
</cp:coreProperties>
</file>